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pivotTables/pivotTable1.xml" ContentType="application/vnd.openxmlformats-officedocument.spreadsheetml.pivotTable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FF) IAFF 82\Salary Schedules\"/>
    </mc:Choice>
  </mc:AlternateContent>
  <xr:revisionPtr revIDLastSave="0" documentId="13_ncr:1_{8C85567F-A306-4059-93CB-EDC23432BF9A}" xr6:coauthVersionLast="47" xr6:coauthVersionMax="47" xr10:uidLastSave="{00000000-0000-0000-0000-000000000000}"/>
  <workbookProtection lockStructure="1"/>
  <bookViews>
    <workbookView xWindow="28680" yWindow="-120" windowWidth="29040" windowHeight="15840" firstSheet="25" activeTab="25" xr2:uid="{00000000-000D-0000-FFFF-FFFF00000000}"/>
  </bookViews>
  <sheets>
    <sheet name="Sept 9, 2007" sheetId="7" state="hidden" r:id="rId1"/>
    <sheet name="January 1, 2008" sheetId="1" state="hidden" r:id="rId2"/>
    <sheet name="October 26, 2008" sheetId="2" state="hidden" r:id="rId3"/>
    <sheet name="December 31, 2008" sheetId="6" state="hidden" r:id="rId4"/>
    <sheet name="January 1, 2010" sheetId="3" state="hidden" r:id="rId5"/>
    <sheet name="January 1, 2011" sheetId="8" state="hidden" r:id="rId6"/>
    <sheet name="January 1, 2012" sheetId="9" state="hidden" r:id="rId7"/>
    <sheet name="January 1, 2013" sheetId="10" state="hidden" r:id="rId8"/>
    <sheet name="January 1, 2014" sheetId="12" state="hidden" r:id="rId9"/>
    <sheet name="January 1, 2015" sheetId="13" state="hidden" r:id="rId10"/>
    <sheet name="January 1, 2016" sheetId="14" state="hidden" r:id="rId11"/>
    <sheet name="January 1, 2017" sheetId="15" state="hidden" r:id="rId12"/>
    <sheet name="January 1, 2018" sheetId="16" state="hidden" r:id="rId13"/>
    <sheet name="Sheet2" sheetId="27" state="hidden" r:id="rId14"/>
    <sheet name="Sheet3" sheetId="28" state="hidden" r:id="rId15"/>
    <sheet name="sheet1" sheetId="26" state="hidden" r:id="rId16"/>
    <sheet name="July 1, 2018 " sheetId="17" state="hidden" r:id="rId17"/>
    <sheet name="January 1, 2019" sheetId="18" state="hidden" r:id="rId18"/>
    <sheet name="Corrections" sheetId="29" state="hidden" r:id="rId19"/>
    <sheet name="April 1, 2019" sheetId="19" state="hidden" r:id="rId20"/>
    <sheet name="January 1, 2020" sheetId="20" state="hidden" r:id="rId21"/>
    <sheet name="July 1, 2020" sheetId="21" state="hidden" r:id="rId22"/>
    <sheet name="January 1, 2021" sheetId="22" state="hidden" r:id="rId23"/>
    <sheet name="July 1, 2021" sheetId="23" state="hidden" r:id="rId24"/>
    <sheet name="January 1, 2022" sheetId="30" state="hidden" r:id="rId25"/>
    <sheet name="January 1, 2023" sheetId="31" r:id="rId26"/>
    <sheet name="January 1, 2024" sheetId="32" r:id="rId27"/>
    <sheet name="January 1, 2025" sheetId="33" r:id="rId28"/>
    <sheet name="Notes" sheetId="25" state="hidden" r:id="rId29"/>
    <sheet name="Long+Selection breakdown" sheetId="24" state="hidden" r:id="rId30"/>
  </sheets>
  <externalReferences>
    <externalReference r:id="rId31"/>
  </externalReferences>
  <definedNames>
    <definedName name="_xlnm._FilterDatabase" localSheetId="22" hidden="1">'January 1, 2021'!$A$3:$AA$22</definedName>
    <definedName name="_xlnm._FilterDatabase" localSheetId="24" hidden="1">'January 1, 2022'!$A$7:$Z$26</definedName>
    <definedName name="_xlnm._FilterDatabase" localSheetId="25" hidden="1">'January 1, 2023'!$A$7:$Z$26</definedName>
    <definedName name="_xlnm._FilterDatabase" localSheetId="26" hidden="1">'January 1, 2024'!$A$7:$Z$26</definedName>
    <definedName name="_xlnm._FilterDatabase" localSheetId="27" hidden="1">'January 1, 2025'!$A$7:$Z$26</definedName>
    <definedName name="_xlnm._FilterDatabase" localSheetId="21" hidden="1">'July 1, 2020'!$A$3:$V$21</definedName>
    <definedName name="_xlnm._FilterDatabase" localSheetId="23" hidden="1">'July 1, 2021'!$A$3:$Y$22</definedName>
    <definedName name="check">#REF!</definedName>
    <definedName name="Data2021">'July 1, 2021'!$R$3:$Y$65</definedName>
    <definedName name="Data2022">'January 1, 2022'!$S$7:$Z$69</definedName>
    <definedName name="Data2023">'January 1, 2023'!$S$7:$Z$69</definedName>
    <definedName name="Data2024">'January 1, 2024'!$S$7:$Z$69</definedName>
    <definedName name="IncrPerc2022">'January 1, 2022'!$R$1</definedName>
    <definedName name="IncrPerc2023" localSheetId="25">'January 1, 2023'!$R$1</definedName>
    <definedName name="IncrPerc2024">'January 1, 2024'!$R$1</definedName>
    <definedName name="IncrPerc2025">'January 1, 2025'!$R$1</definedName>
    <definedName name="Jan2021Rates">'January 1, 2021'!$A$3:$L$18</definedName>
    <definedName name="PercIncrJuly2021">'July 1, 2021'!$P$1</definedName>
    <definedName name="_xlnm.Print_Area" localSheetId="3">'December 31, 2008'!$A$1:$N$52</definedName>
    <definedName name="_xlnm.Print_Area" localSheetId="1">'January 1, 2008'!$A$1:$N$52</definedName>
    <definedName name="_xlnm.Print_Area" localSheetId="4">'January 1, 2010'!$A$1:$N$52</definedName>
    <definedName name="_xlnm.Print_Area" localSheetId="5">'January 1, 2011'!$A$1:$N$53</definedName>
    <definedName name="_xlnm.Print_Area" localSheetId="6">'January 1, 2012'!$A$1:$N$53</definedName>
    <definedName name="_xlnm.Print_Area" localSheetId="7">'January 1, 2013'!$A$1:$N$54</definedName>
    <definedName name="_xlnm.Print_Area" localSheetId="8">'January 1, 2014'!$A$1:$N$54</definedName>
    <definedName name="_xlnm.Print_Area" localSheetId="9">'January 1, 2015'!$A$1:$N$48</definedName>
    <definedName name="_xlnm.Print_Area" localSheetId="10">'January 1, 2016'!$A$1:$N$48</definedName>
    <definedName name="_xlnm.Print_Area" localSheetId="11">'January 1, 2017'!$A$1:$N$48</definedName>
    <definedName name="_xlnm.Print_Area" localSheetId="12">'January 1, 2018'!$A$1:$N$48</definedName>
    <definedName name="_xlnm.Print_Area" localSheetId="17">'January 1, 2019'!$A$42:$Y$47</definedName>
    <definedName name="_xlnm.Print_Area" localSheetId="20">'January 1, 2020'!$A$1:$V$17</definedName>
    <definedName name="_xlnm.Print_Area" localSheetId="22">'January 1, 2021'!$A$1:$Y$17</definedName>
    <definedName name="_xlnm.Print_Area" localSheetId="24">'January 1, 2022'!$A$1:$Y$21</definedName>
    <definedName name="_xlnm.Print_Area" localSheetId="25">'January 1, 2023'!$A$1:$Y$21</definedName>
    <definedName name="_xlnm.Print_Area" localSheetId="26">'January 1, 2024'!$A$1:$Y$21</definedName>
    <definedName name="_xlnm.Print_Area" localSheetId="27">'January 1, 2025'!$A$1:$Y$21</definedName>
    <definedName name="_xlnm.Print_Area" localSheetId="16">'July 1, 2018 '!$A$1:$V$17</definedName>
    <definedName name="_xlnm.Print_Area" localSheetId="21">'July 1, 2020'!$A$1:$V$17</definedName>
    <definedName name="_xlnm.Print_Area" localSheetId="23">'July 1, 2021'!$A$1:$X$17</definedName>
    <definedName name="_xlnm.Print_Area" localSheetId="2">'October 26, 2008'!$A$1:$N$52</definedName>
    <definedName name="_xlnm.Print_Area" localSheetId="0">'Sept 9, 2007'!$A$1:$N$52</definedName>
  </definedNames>
  <calcPr calcId="191029"/>
  <pivotCaches>
    <pivotCache cacheId="0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22" i="30" l="1"/>
  <c r="AC22" i="31"/>
  <c r="AC22" i="32"/>
  <c r="AC22" i="33"/>
  <c r="R1" i="33" l="1"/>
  <c r="A3" i="30"/>
  <c r="A3" i="31"/>
  <c r="A3" i="32"/>
  <c r="S47" i="23"/>
  <c r="S48" i="23"/>
  <c r="S49" i="23"/>
  <c r="S50" i="23"/>
  <c r="S51" i="23"/>
  <c r="S52" i="23"/>
  <c r="S53" i="23"/>
  <c r="S54" i="23"/>
  <c r="S55" i="23"/>
  <c r="S56" i="23"/>
  <c r="S57" i="23"/>
  <c r="S58" i="23"/>
  <c r="S59" i="23"/>
  <c r="S60" i="23"/>
  <c r="S61" i="23"/>
  <c r="S62" i="23"/>
  <c r="S63" i="23"/>
  <c r="S64" i="23"/>
  <c r="S65" i="23"/>
  <c r="S46" i="23"/>
  <c r="S26" i="23"/>
  <c r="S27" i="23"/>
  <c r="S28" i="23"/>
  <c r="S29" i="23"/>
  <c r="S30" i="23"/>
  <c r="S31" i="23"/>
  <c r="S32" i="23"/>
  <c r="S33" i="23"/>
  <c r="S34" i="23"/>
  <c r="S35" i="23"/>
  <c r="S36" i="23"/>
  <c r="S37" i="23"/>
  <c r="S38" i="23"/>
  <c r="S39" i="23"/>
  <c r="S40" i="23"/>
  <c r="S41" i="23"/>
  <c r="S42" i="23"/>
  <c r="S43" i="23"/>
  <c r="S25" i="23"/>
  <c r="AF49" i="30" l="1"/>
  <c r="AE49" i="30"/>
  <c r="AF28" i="30"/>
  <c r="AE28" i="30"/>
  <c r="AB28" i="30"/>
  <c r="AD22" i="30"/>
  <c r="AD21" i="30"/>
  <c r="AD20" i="30"/>
  <c r="AD19" i="30"/>
  <c r="AD18" i="30"/>
  <c r="AD17" i="30"/>
  <c r="AD16" i="30"/>
  <c r="AD15" i="30"/>
  <c r="AD14" i="30"/>
  <c r="AD13" i="30"/>
  <c r="AD12" i="30"/>
  <c r="AD11" i="30"/>
  <c r="AD10" i="30"/>
  <c r="AD9" i="30"/>
  <c r="AD8" i="30"/>
  <c r="AF49" i="31"/>
  <c r="AE49" i="31"/>
  <c r="AF28" i="31"/>
  <c r="AE28" i="31"/>
  <c r="AB28" i="31"/>
  <c r="AD22" i="31"/>
  <c r="AD21" i="31"/>
  <c r="AD20" i="31"/>
  <c r="AD19" i="31"/>
  <c r="AD18" i="31"/>
  <c r="AD17" i="31"/>
  <c r="AD16" i="31"/>
  <c r="AD15" i="31"/>
  <c r="AD14" i="31"/>
  <c r="AD13" i="31"/>
  <c r="AD12" i="31"/>
  <c r="AD11" i="31"/>
  <c r="AD10" i="31"/>
  <c r="AD9" i="31"/>
  <c r="AD8" i="31"/>
  <c r="AF49" i="32"/>
  <c r="AE49" i="32"/>
  <c r="AF28" i="32"/>
  <c r="AE28" i="32"/>
  <c r="AB28" i="32"/>
  <c r="AD22" i="32"/>
  <c r="AD21" i="32"/>
  <c r="AD20" i="32"/>
  <c r="AD19" i="32"/>
  <c r="AD18" i="32"/>
  <c r="AD17" i="32"/>
  <c r="AD16" i="32"/>
  <c r="AD15" i="32"/>
  <c r="AD14" i="32"/>
  <c r="AD13" i="32"/>
  <c r="AD12" i="32"/>
  <c r="AD11" i="32"/>
  <c r="AD10" i="32"/>
  <c r="AD9" i="32"/>
  <c r="AD8" i="32"/>
  <c r="AF49" i="33"/>
  <c r="AE49" i="33"/>
  <c r="AF28" i="33"/>
  <c r="AE28" i="33"/>
  <c r="AB28" i="33"/>
  <c r="AD22" i="33"/>
  <c r="AD21" i="33"/>
  <c r="AD20" i="33"/>
  <c r="AD12" i="33"/>
  <c r="AD13" i="33"/>
  <c r="AD14" i="33"/>
  <c r="AD15" i="33"/>
  <c r="AD16" i="33"/>
  <c r="AD17" i="33"/>
  <c r="AD18" i="33"/>
  <c r="AD19" i="33"/>
  <c r="AD10" i="33"/>
  <c r="AD11" i="33"/>
  <c r="AD9" i="33"/>
  <c r="AD8" i="33"/>
  <c r="S69" i="33"/>
  <c r="S68" i="33"/>
  <c r="S67" i="33"/>
  <c r="S66" i="33"/>
  <c r="S65" i="33"/>
  <c r="S64" i="33"/>
  <c r="S63" i="33"/>
  <c r="S62" i="33"/>
  <c r="S61" i="33"/>
  <c r="S60" i="33"/>
  <c r="S59" i="33"/>
  <c r="S58" i="33"/>
  <c r="S57" i="33"/>
  <c r="S56" i="33"/>
  <c r="S55" i="33"/>
  <c r="S54" i="33"/>
  <c r="S53" i="33"/>
  <c r="S52" i="33"/>
  <c r="S51" i="33"/>
  <c r="S50" i="33"/>
  <c r="S47" i="33"/>
  <c r="S46" i="33"/>
  <c r="S45" i="33"/>
  <c r="S44" i="33"/>
  <c r="S43" i="33"/>
  <c r="S42" i="33"/>
  <c r="S41" i="33"/>
  <c r="S40" i="33"/>
  <c r="S39" i="33"/>
  <c r="S38" i="33"/>
  <c r="S37" i="33"/>
  <c r="S36" i="33"/>
  <c r="S35" i="33"/>
  <c r="S34" i="33"/>
  <c r="S33" i="33"/>
  <c r="S32" i="33"/>
  <c r="S31" i="33"/>
  <c r="S30" i="33"/>
  <c r="S29" i="33"/>
  <c r="AB22" i="33"/>
  <c r="S21" i="33"/>
  <c r="AB21" i="33" s="1"/>
  <c r="C21" i="33"/>
  <c r="AC21" i="33" s="1"/>
  <c r="S20" i="33"/>
  <c r="AB20" i="33" s="1"/>
  <c r="C20" i="33"/>
  <c r="AC20" i="33" s="1"/>
  <c r="S19" i="33"/>
  <c r="AB19" i="33" s="1"/>
  <c r="C19" i="33"/>
  <c r="AC19" i="33" s="1"/>
  <c r="S18" i="33"/>
  <c r="AB18" i="33" s="1"/>
  <c r="C18" i="33"/>
  <c r="AC18" i="33" s="1"/>
  <c r="S17" i="33"/>
  <c r="AB17" i="33" s="1"/>
  <c r="C17" i="33"/>
  <c r="AC17" i="33" s="1"/>
  <c r="S16" i="33"/>
  <c r="AB16" i="33" s="1"/>
  <c r="C16" i="33"/>
  <c r="AC16" i="33" s="1"/>
  <c r="S15" i="33"/>
  <c r="AB15" i="33" s="1"/>
  <c r="C15" i="33"/>
  <c r="AC15" i="33" s="1"/>
  <c r="S14" i="33"/>
  <c r="AB14" i="33" s="1"/>
  <c r="C14" i="33"/>
  <c r="AC14" i="33" s="1"/>
  <c r="S13" i="33"/>
  <c r="AB13" i="33" s="1"/>
  <c r="C13" i="33"/>
  <c r="AC13" i="33" s="1"/>
  <c r="S12" i="33"/>
  <c r="AB12" i="33" s="1"/>
  <c r="C12" i="33"/>
  <c r="AC12" i="33" s="1"/>
  <c r="S11" i="33"/>
  <c r="AB11" i="33" s="1"/>
  <c r="C11" i="33"/>
  <c r="AC11" i="33" s="1"/>
  <c r="S10" i="33"/>
  <c r="AB10" i="33" s="1"/>
  <c r="C10" i="33"/>
  <c r="AC10" i="33" s="1"/>
  <c r="S9" i="33"/>
  <c r="AB9" i="33" s="1"/>
  <c r="C9" i="33"/>
  <c r="AC9" i="33" s="1"/>
  <c r="S8" i="33"/>
  <c r="AB8" i="33" s="1"/>
  <c r="C8" i="33"/>
  <c r="AC8" i="33" s="1"/>
  <c r="S69" i="32"/>
  <c r="S68" i="32"/>
  <c r="S67" i="32"/>
  <c r="S66" i="32"/>
  <c r="S65" i="32"/>
  <c r="S64" i="32"/>
  <c r="S63" i="32"/>
  <c r="S62" i="32"/>
  <c r="S61" i="32"/>
  <c r="S60" i="32"/>
  <c r="S59" i="32"/>
  <c r="S58" i="32"/>
  <c r="S57" i="32"/>
  <c r="S56" i="32"/>
  <c r="S55" i="32"/>
  <c r="S54" i="32"/>
  <c r="S53" i="32"/>
  <c r="S52" i="32"/>
  <c r="S51" i="32"/>
  <c r="S50" i="32"/>
  <c r="S47" i="32"/>
  <c r="S46" i="32"/>
  <c r="S45" i="32"/>
  <c r="S44" i="32"/>
  <c r="S43" i="32"/>
  <c r="S42" i="32"/>
  <c r="S41" i="32"/>
  <c r="S40" i="32"/>
  <c r="S39" i="32"/>
  <c r="S38" i="32"/>
  <c r="S37" i="32"/>
  <c r="S36" i="32"/>
  <c r="S35" i="32"/>
  <c r="S34" i="32"/>
  <c r="S33" i="32"/>
  <c r="S32" i="32"/>
  <c r="S31" i="32"/>
  <c r="S30" i="32"/>
  <c r="S29" i="32"/>
  <c r="AB22" i="32"/>
  <c r="S21" i="32"/>
  <c r="AB21" i="32" s="1"/>
  <c r="C21" i="32"/>
  <c r="AC21" i="32" s="1"/>
  <c r="S20" i="32"/>
  <c r="AB20" i="32" s="1"/>
  <c r="C20" i="32"/>
  <c r="AC20" i="32" s="1"/>
  <c r="S19" i="32"/>
  <c r="AB19" i="32" s="1"/>
  <c r="C19" i="32"/>
  <c r="AC19" i="32" s="1"/>
  <c r="S18" i="32"/>
  <c r="AB18" i="32" s="1"/>
  <c r="C18" i="32"/>
  <c r="AC18" i="32" s="1"/>
  <c r="S17" i="32"/>
  <c r="AB17" i="32" s="1"/>
  <c r="C17" i="32"/>
  <c r="AC17" i="32" s="1"/>
  <c r="S16" i="32"/>
  <c r="AB16" i="32" s="1"/>
  <c r="C16" i="32"/>
  <c r="AC16" i="32" s="1"/>
  <c r="S15" i="32"/>
  <c r="AB15" i="32" s="1"/>
  <c r="C15" i="32"/>
  <c r="AC15" i="32" s="1"/>
  <c r="S14" i="32"/>
  <c r="AB14" i="32" s="1"/>
  <c r="C14" i="32"/>
  <c r="AC14" i="32" s="1"/>
  <c r="S13" i="32"/>
  <c r="AB13" i="32" s="1"/>
  <c r="C13" i="32"/>
  <c r="AC13" i="32" s="1"/>
  <c r="S12" i="32"/>
  <c r="AB12" i="32" s="1"/>
  <c r="C12" i="32"/>
  <c r="AC12" i="32" s="1"/>
  <c r="S11" i="32"/>
  <c r="AB11" i="32" s="1"/>
  <c r="C11" i="32"/>
  <c r="AC11" i="32" s="1"/>
  <c r="S10" i="32"/>
  <c r="AB10" i="32" s="1"/>
  <c r="C10" i="32"/>
  <c r="AC10" i="32" s="1"/>
  <c r="S9" i="32"/>
  <c r="AB9" i="32" s="1"/>
  <c r="C9" i="32"/>
  <c r="AC9" i="32" s="1"/>
  <c r="S8" i="32"/>
  <c r="AB8" i="32" s="1"/>
  <c r="C8" i="32"/>
  <c r="AC8" i="32" s="1"/>
  <c r="S69" i="31"/>
  <c r="S68" i="31"/>
  <c r="S67" i="31"/>
  <c r="S66" i="31"/>
  <c r="S65" i="31"/>
  <c r="S64" i="31"/>
  <c r="S63" i="31"/>
  <c r="S62" i="31"/>
  <c r="S61" i="31"/>
  <c r="S60" i="31"/>
  <c r="S59" i="31"/>
  <c r="S58" i="31"/>
  <c r="S57" i="31"/>
  <c r="S56" i="31"/>
  <c r="S55" i="31"/>
  <c r="S54" i="31"/>
  <c r="S53" i="31"/>
  <c r="S52" i="31"/>
  <c r="S51" i="31"/>
  <c r="S50" i="31"/>
  <c r="S47" i="31"/>
  <c r="S46" i="31"/>
  <c r="S45" i="31"/>
  <c r="S44" i="31"/>
  <c r="S43" i="31"/>
  <c r="S42" i="31"/>
  <c r="S41" i="31"/>
  <c r="S40" i="31"/>
  <c r="S39" i="31"/>
  <c r="S38" i="31"/>
  <c r="S37" i="31"/>
  <c r="S36" i="31"/>
  <c r="S35" i="31"/>
  <c r="S34" i="31"/>
  <c r="S33" i="31"/>
  <c r="S32" i="31"/>
  <c r="S31" i="31"/>
  <c r="S30" i="31"/>
  <c r="S29" i="31"/>
  <c r="AB22" i="31"/>
  <c r="S21" i="31"/>
  <c r="AB21" i="31" s="1"/>
  <c r="C21" i="31"/>
  <c r="AC21" i="31" s="1"/>
  <c r="S20" i="31"/>
  <c r="AB20" i="31" s="1"/>
  <c r="C20" i="31"/>
  <c r="AC20" i="31" s="1"/>
  <c r="S19" i="31"/>
  <c r="AB19" i="31" s="1"/>
  <c r="C19" i="31"/>
  <c r="AC19" i="31" s="1"/>
  <c r="S18" i="31"/>
  <c r="AB18" i="31" s="1"/>
  <c r="C18" i="31"/>
  <c r="AC18" i="31" s="1"/>
  <c r="S17" i="31"/>
  <c r="AB17" i="31" s="1"/>
  <c r="C17" i="31"/>
  <c r="AC17" i="31" s="1"/>
  <c r="S16" i="31"/>
  <c r="AB16" i="31" s="1"/>
  <c r="C16" i="31"/>
  <c r="AC16" i="31" s="1"/>
  <c r="S15" i="31"/>
  <c r="AB15" i="31" s="1"/>
  <c r="C15" i="31"/>
  <c r="AC15" i="31" s="1"/>
  <c r="S14" i="31"/>
  <c r="AB14" i="31" s="1"/>
  <c r="C14" i="31"/>
  <c r="AC14" i="31" s="1"/>
  <c r="S13" i="31"/>
  <c r="AB13" i="31" s="1"/>
  <c r="C13" i="31"/>
  <c r="AC13" i="31" s="1"/>
  <c r="S12" i="31"/>
  <c r="AB12" i="31" s="1"/>
  <c r="C12" i="31"/>
  <c r="AC12" i="31" s="1"/>
  <c r="S11" i="31"/>
  <c r="AB11" i="31" s="1"/>
  <c r="C11" i="31"/>
  <c r="AC11" i="31" s="1"/>
  <c r="S10" i="31"/>
  <c r="AB10" i="31" s="1"/>
  <c r="C10" i="31"/>
  <c r="AC10" i="31" s="1"/>
  <c r="S9" i="31"/>
  <c r="AB9" i="31" s="1"/>
  <c r="C9" i="31"/>
  <c r="AC9" i="31" s="1"/>
  <c r="S8" i="31"/>
  <c r="AB8" i="31" s="1"/>
  <c r="C8" i="31"/>
  <c r="AC8" i="31" s="1"/>
  <c r="S51" i="30"/>
  <c r="S52" i="30"/>
  <c r="S53" i="30"/>
  <c r="S54" i="30"/>
  <c r="S55" i="30"/>
  <c r="S56" i="30"/>
  <c r="S57" i="30"/>
  <c r="S58" i="30"/>
  <c r="S59" i="30"/>
  <c r="S60" i="30"/>
  <c r="S61" i="30"/>
  <c r="S62" i="30"/>
  <c r="S63" i="30"/>
  <c r="S64" i="30"/>
  <c r="S65" i="30"/>
  <c r="S66" i="30"/>
  <c r="S67" i="30"/>
  <c r="S68" i="30"/>
  <c r="S69" i="30"/>
  <c r="S50" i="30"/>
  <c r="S30" i="30"/>
  <c r="S31" i="30"/>
  <c r="S32" i="30"/>
  <c r="S33" i="30"/>
  <c r="S34" i="30"/>
  <c r="S35" i="30"/>
  <c r="S36" i="30"/>
  <c r="S37" i="30"/>
  <c r="S38" i="30"/>
  <c r="S39" i="30"/>
  <c r="S40" i="30"/>
  <c r="S41" i="30"/>
  <c r="S42" i="30"/>
  <c r="S43" i="30"/>
  <c r="S44" i="30"/>
  <c r="S45" i="30"/>
  <c r="S46" i="30"/>
  <c r="S47" i="30"/>
  <c r="S29" i="30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46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25" i="23"/>
  <c r="R5" i="23"/>
  <c r="R6" i="23"/>
  <c r="R7" i="23"/>
  <c r="R8" i="23"/>
  <c r="R9" i="23"/>
  <c r="R10" i="23"/>
  <c r="R11" i="23"/>
  <c r="R12" i="23"/>
  <c r="R13" i="23"/>
  <c r="R14" i="23"/>
  <c r="R15" i="23"/>
  <c r="R16" i="23"/>
  <c r="R17" i="23"/>
  <c r="R18" i="23"/>
  <c r="R4" i="23"/>
  <c r="S9" i="30"/>
  <c r="AB9" i="30" s="1"/>
  <c r="S10" i="30"/>
  <c r="AB10" i="30" s="1"/>
  <c r="S11" i="30"/>
  <c r="AB11" i="30" s="1"/>
  <c r="S12" i="30"/>
  <c r="AB12" i="30" s="1"/>
  <c r="S13" i="30"/>
  <c r="AB13" i="30" s="1"/>
  <c r="S14" i="30"/>
  <c r="AB14" i="30" s="1"/>
  <c r="S15" i="30"/>
  <c r="AB15" i="30" s="1"/>
  <c r="S16" i="30"/>
  <c r="AB16" i="30" s="1"/>
  <c r="S17" i="30"/>
  <c r="AB17" i="30" s="1"/>
  <c r="S18" i="30"/>
  <c r="AB18" i="30" s="1"/>
  <c r="S19" i="30"/>
  <c r="AB19" i="30" s="1"/>
  <c r="S20" i="30"/>
  <c r="AB20" i="30" s="1"/>
  <c r="S21" i="30"/>
  <c r="AB21" i="30" s="1"/>
  <c r="AB22" i="30"/>
  <c r="S8" i="30"/>
  <c r="AB8" i="30" s="1"/>
  <c r="C21" i="30"/>
  <c r="AC21" i="30" s="1"/>
  <c r="C20" i="30"/>
  <c r="AC20" i="30" s="1"/>
  <c r="C19" i="30"/>
  <c r="AC19" i="30" s="1"/>
  <c r="C18" i="30"/>
  <c r="AC18" i="30" s="1"/>
  <c r="C17" i="30"/>
  <c r="AC17" i="30" s="1"/>
  <c r="C16" i="30"/>
  <c r="AC16" i="30" s="1"/>
  <c r="C15" i="30"/>
  <c r="AC15" i="30" s="1"/>
  <c r="C14" i="30"/>
  <c r="AC14" i="30" s="1"/>
  <c r="C13" i="30"/>
  <c r="AC13" i="30" s="1"/>
  <c r="C12" i="30"/>
  <c r="AC12" i="30" s="1"/>
  <c r="C11" i="30"/>
  <c r="AC11" i="30" s="1"/>
  <c r="C10" i="30"/>
  <c r="AC10" i="30" s="1"/>
  <c r="C9" i="30"/>
  <c r="AC9" i="30" s="1"/>
  <c r="C8" i="30"/>
  <c r="AC8" i="30" s="1"/>
  <c r="G17" i="23"/>
  <c r="T17" i="23" s="1"/>
  <c r="H17" i="23"/>
  <c r="U17" i="23" s="1"/>
  <c r="I17" i="23"/>
  <c r="V17" i="23" s="1"/>
  <c r="J17" i="23"/>
  <c r="W17" i="23" s="1"/>
  <c r="K17" i="23"/>
  <c r="X17" i="23" s="1"/>
  <c r="K16" i="23"/>
  <c r="X16" i="23" s="1"/>
  <c r="J16" i="23"/>
  <c r="W16" i="23" s="1"/>
  <c r="I16" i="23"/>
  <c r="V16" i="23" s="1"/>
  <c r="H16" i="23"/>
  <c r="U16" i="23" s="1"/>
  <c r="G16" i="23"/>
  <c r="T16" i="23" s="1"/>
  <c r="G8" i="23"/>
  <c r="T8" i="23" s="1"/>
  <c r="H8" i="23"/>
  <c r="U8" i="23" s="1"/>
  <c r="I8" i="23"/>
  <c r="V8" i="23" s="1"/>
  <c r="G9" i="23"/>
  <c r="T9" i="23" s="1"/>
  <c r="H9" i="23"/>
  <c r="U9" i="23" s="1"/>
  <c r="I9" i="23"/>
  <c r="V9" i="23" s="1"/>
  <c r="G10" i="23"/>
  <c r="T10" i="23" s="1"/>
  <c r="H10" i="23"/>
  <c r="U10" i="23" s="1"/>
  <c r="I10" i="23"/>
  <c r="V10" i="23" s="1"/>
  <c r="G11" i="23"/>
  <c r="T11" i="23" s="1"/>
  <c r="H11" i="23"/>
  <c r="U11" i="23" s="1"/>
  <c r="I11" i="23"/>
  <c r="V11" i="23" s="1"/>
  <c r="G12" i="23"/>
  <c r="T12" i="23" s="1"/>
  <c r="H12" i="23"/>
  <c r="U12" i="23" s="1"/>
  <c r="I12" i="23"/>
  <c r="V12" i="23" s="1"/>
  <c r="G13" i="23"/>
  <c r="T13" i="23" s="1"/>
  <c r="H13" i="23"/>
  <c r="U13" i="23" s="1"/>
  <c r="I13" i="23"/>
  <c r="V13" i="23" s="1"/>
  <c r="G14" i="23"/>
  <c r="T14" i="23" s="1"/>
  <c r="H14" i="23"/>
  <c r="U14" i="23" s="1"/>
  <c r="I14" i="23"/>
  <c r="V14" i="23" s="1"/>
  <c r="G15" i="23"/>
  <c r="T15" i="23" s="1"/>
  <c r="H15" i="23"/>
  <c r="U15" i="23" s="1"/>
  <c r="I15" i="23"/>
  <c r="V15" i="23" s="1"/>
  <c r="L18" i="23"/>
  <c r="Y18" i="23" s="1"/>
  <c r="K18" i="23"/>
  <c r="X18" i="23" s="1"/>
  <c r="J18" i="23"/>
  <c r="W18" i="23" s="1"/>
  <c r="I18" i="23"/>
  <c r="V18" i="23" s="1"/>
  <c r="H18" i="23"/>
  <c r="U18" i="23" s="1"/>
  <c r="G18" i="23"/>
  <c r="T18" i="23" s="1"/>
  <c r="G6" i="23"/>
  <c r="T6" i="23" s="1"/>
  <c r="H6" i="23"/>
  <c r="U6" i="23" s="1"/>
  <c r="I6" i="23"/>
  <c r="V6" i="23" s="1"/>
  <c r="J6" i="23"/>
  <c r="W6" i="23" s="1"/>
  <c r="K6" i="23"/>
  <c r="X6" i="23" s="1"/>
  <c r="L6" i="23"/>
  <c r="Y6" i="23" s="1"/>
  <c r="G7" i="23"/>
  <c r="T7" i="23" s="1"/>
  <c r="H7" i="23"/>
  <c r="U7" i="23" s="1"/>
  <c r="I7" i="23"/>
  <c r="V7" i="23" s="1"/>
  <c r="J7" i="23"/>
  <c r="W7" i="23" s="1"/>
  <c r="K7" i="23"/>
  <c r="X7" i="23" s="1"/>
  <c r="L7" i="23"/>
  <c r="Y7" i="23" s="1"/>
  <c r="L5" i="23"/>
  <c r="Y5" i="23" s="1"/>
  <c r="K5" i="23"/>
  <c r="X5" i="23" s="1"/>
  <c r="J5" i="23"/>
  <c r="W5" i="23" s="1"/>
  <c r="I5" i="23"/>
  <c r="V5" i="23" s="1"/>
  <c r="H5" i="23"/>
  <c r="U5" i="23" s="1"/>
  <c r="G5" i="23"/>
  <c r="T5" i="23" s="1"/>
  <c r="G4" i="23"/>
  <c r="T4" i="23" s="1"/>
  <c r="C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4" i="23"/>
  <c r="X18" i="22"/>
  <c r="S18" i="22"/>
  <c r="T18" i="22"/>
  <c r="U18" i="22"/>
  <c r="V18" i="22"/>
  <c r="W18" i="22"/>
  <c r="T62" i="30" a="1"/>
  <c r="W15" i="30" a="1"/>
  <c r="Z10" i="30" a="1"/>
  <c r="T29" i="30" a="1"/>
  <c r="X11" i="30" a="1"/>
  <c r="T30" i="30" a="1"/>
  <c r="T52" i="30" a="1"/>
  <c r="T51" i="30" a="1"/>
  <c r="W13" i="30" a="1"/>
  <c r="W9" i="30" a="1"/>
  <c r="V21" i="30" a="1"/>
  <c r="T61" i="30" a="1"/>
  <c r="Y9" i="30" a="1"/>
  <c r="T44" i="30" a="1"/>
  <c r="T39" i="30" a="1"/>
  <c r="Y10" i="30" a="1"/>
  <c r="V15" i="30" a="1"/>
  <c r="U13" i="30" a="1"/>
  <c r="T38" i="30" a="1"/>
  <c r="U14" i="30" a="1"/>
  <c r="V11" i="30" a="1"/>
  <c r="U10" i="30" a="1"/>
  <c r="V14" i="30" a="1"/>
  <c r="V9" i="30" a="1"/>
  <c r="T64" i="30" a="1"/>
  <c r="T59" i="30" a="1"/>
  <c r="W21" i="30" a="1"/>
  <c r="T33" i="30" a="1"/>
  <c r="T41" i="30" a="1"/>
  <c r="V18" i="30" a="1"/>
  <c r="Y22" i="30" a="1"/>
  <c r="U8" i="30" a="1"/>
  <c r="T53" i="30" a="1"/>
  <c r="T63" i="30" a="1"/>
  <c r="T60" i="30" a="1"/>
  <c r="U20" i="30" a="1"/>
  <c r="X10" i="30" a="1"/>
  <c r="U12" i="30" a="1"/>
  <c r="T32" i="30" a="1"/>
  <c r="W22" i="30" a="1"/>
  <c r="W17" i="30" a="1"/>
  <c r="U11" i="30" a="1"/>
  <c r="U22" i="30" a="1"/>
  <c r="T46" i="30" a="1"/>
  <c r="T67" i="30" a="1"/>
  <c r="U21" i="30" a="1"/>
  <c r="V13" i="30" a="1"/>
  <c r="U17" i="30" a="1"/>
  <c r="Y21" i="30" a="1"/>
  <c r="W20" i="30" a="1"/>
  <c r="T66" i="30" a="1"/>
  <c r="Y11" i="30" a="1"/>
  <c r="V12" i="30" a="1"/>
  <c r="U15" i="30" a="1"/>
  <c r="T57" i="30" a="1"/>
  <c r="T50" i="30" a="1"/>
  <c r="T31" i="30" a="1"/>
  <c r="W12" i="30" a="1"/>
  <c r="T43" i="30" a="1"/>
  <c r="T68" i="30" a="1"/>
  <c r="Z9" i="30" a="1"/>
  <c r="V19" i="30" a="1"/>
  <c r="T45" i="30" a="1"/>
  <c r="T47" i="30" a="1"/>
  <c r="Y20" i="30" a="1"/>
  <c r="X22" i="30" a="1"/>
  <c r="T58" i="30" a="1"/>
  <c r="T37" i="30" a="1"/>
  <c r="Z22" i="30" a="1"/>
  <c r="T42" i="30" a="1"/>
  <c r="W14" i="30" a="1"/>
  <c r="T65" i="30" a="1"/>
  <c r="W16" i="30" a="1"/>
  <c r="T56" i="30" a="1"/>
  <c r="T55" i="30" a="1"/>
  <c r="U18" i="30" a="1"/>
  <c r="T69" i="30" a="1"/>
  <c r="T36" i="30" a="1"/>
  <c r="T35" i="30" a="1"/>
  <c r="W10" i="30" a="1"/>
  <c r="T40" i="30" a="1"/>
  <c r="W19" i="30" a="1"/>
  <c r="U16" i="30" a="1"/>
  <c r="U19" i="30" a="1"/>
  <c r="X9" i="30" a="1"/>
  <c r="T54" i="30" a="1"/>
  <c r="V17" i="30" a="1"/>
  <c r="V22" i="30" a="1"/>
  <c r="V10" i="30" a="1"/>
  <c r="V16" i="30" a="1"/>
  <c r="W11" i="30" a="1"/>
  <c r="V20" i="30" a="1"/>
  <c r="X21" i="30" a="1"/>
  <c r="W18" i="30" a="1"/>
  <c r="U9" i="30" a="1"/>
  <c r="Z11" i="30" a="1"/>
  <c r="X20" i="30" a="1"/>
  <c r="T34" i="30" a="1"/>
  <c r="T60" i="30" l="1"/>
  <c r="T47" i="30"/>
  <c r="T35" i="30"/>
  <c r="T64" i="30"/>
  <c r="T52" i="30"/>
  <c r="T34" i="30"/>
  <c r="T62" i="30"/>
  <c r="T43" i="30"/>
  <c r="T30" i="30"/>
  <c r="T59" i="30"/>
  <c r="T42" i="30"/>
  <c r="T41" i="30"/>
  <c r="T50" i="30"/>
  <c r="T58" i="30"/>
  <c r="T61" i="30"/>
  <c r="T31" i="30"/>
  <c r="T40" i="30"/>
  <c r="T69" i="30"/>
  <c r="T57" i="30"/>
  <c r="T39" i="30"/>
  <c r="T68" i="30"/>
  <c r="T56" i="30"/>
  <c r="T51" i="30"/>
  <c r="T33" i="30"/>
  <c r="T32" i="30"/>
  <c r="T38" i="30"/>
  <c r="T67" i="30"/>
  <c r="T55" i="30"/>
  <c r="T63" i="30"/>
  <c r="T45" i="30"/>
  <c r="T37" i="30"/>
  <c r="T66" i="30"/>
  <c r="T54" i="30"/>
  <c r="T46" i="30"/>
  <c r="T44" i="30"/>
  <c r="T29" i="30"/>
  <c r="T36" i="30"/>
  <c r="T65" i="30"/>
  <c r="T53" i="30"/>
  <c r="AB34" i="31"/>
  <c r="AB37" i="32"/>
  <c r="AB55" i="33"/>
  <c r="AB36" i="31"/>
  <c r="AB65" i="32"/>
  <c r="AB60" i="30"/>
  <c r="AB47" i="30"/>
  <c r="AB35" i="30"/>
  <c r="AB64" i="30"/>
  <c r="AB52" i="30"/>
  <c r="AB33" i="31"/>
  <c r="AB45" i="31"/>
  <c r="AB59" i="31"/>
  <c r="AB36" i="32"/>
  <c r="AB50" i="32"/>
  <c r="AB62" i="32"/>
  <c r="AB39" i="33"/>
  <c r="AB53" i="33"/>
  <c r="AB65" i="33"/>
  <c r="AB34" i="30"/>
  <c r="AB63" i="32"/>
  <c r="AB62" i="30"/>
  <c r="AB52" i="32"/>
  <c r="AB56" i="33"/>
  <c r="AB43" i="30"/>
  <c r="AB57" i="33"/>
  <c r="AB30" i="30"/>
  <c r="AB59" i="30"/>
  <c r="AB38" i="31"/>
  <c r="AB52" i="31"/>
  <c r="AB64" i="31"/>
  <c r="AB29" i="32"/>
  <c r="AB41" i="32"/>
  <c r="AB55" i="32"/>
  <c r="AB67" i="32"/>
  <c r="AB32" i="33"/>
  <c r="AB44" i="33"/>
  <c r="AB58" i="33"/>
  <c r="AB63" i="31"/>
  <c r="AB54" i="32"/>
  <c r="AB43" i="33"/>
  <c r="AB42" i="30"/>
  <c r="AB41" i="30"/>
  <c r="AB50" i="30"/>
  <c r="AB58" i="30"/>
  <c r="AB39" i="31"/>
  <c r="AB53" i="31"/>
  <c r="AB65" i="31"/>
  <c r="AB30" i="32"/>
  <c r="AB42" i="32"/>
  <c r="AB56" i="32"/>
  <c r="AB68" i="32"/>
  <c r="AB33" i="33"/>
  <c r="AB45" i="33"/>
  <c r="AB59" i="33"/>
  <c r="AB61" i="31"/>
  <c r="AB29" i="33"/>
  <c r="AB61" i="30"/>
  <c r="AB50" i="31"/>
  <c r="AB53" i="32"/>
  <c r="AB30" i="33"/>
  <c r="AB31" i="30"/>
  <c r="AB37" i="31"/>
  <c r="AB40" i="32"/>
  <c r="AB31" i="33"/>
  <c r="AB40" i="30"/>
  <c r="AB69" i="30"/>
  <c r="AB57" i="30"/>
  <c r="AB40" i="31"/>
  <c r="AB54" i="31"/>
  <c r="AB66" i="31"/>
  <c r="AB31" i="32"/>
  <c r="AB43" i="32"/>
  <c r="AB57" i="32"/>
  <c r="AB69" i="32"/>
  <c r="AB34" i="33"/>
  <c r="AB46" i="33"/>
  <c r="AB60" i="33"/>
  <c r="AB46" i="31"/>
  <c r="AB66" i="33"/>
  <c r="AB67" i="33"/>
  <c r="AB39" i="32"/>
  <c r="AB68" i="33"/>
  <c r="AB51" i="31"/>
  <c r="AB39" i="30"/>
  <c r="AB68" i="30"/>
  <c r="AB56" i="30"/>
  <c r="AB29" i="31"/>
  <c r="AB41" i="31"/>
  <c r="AB55" i="31"/>
  <c r="AB67" i="31"/>
  <c r="AB32" i="32"/>
  <c r="AB44" i="32"/>
  <c r="AB58" i="32"/>
  <c r="AB35" i="33"/>
  <c r="AB47" i="33"/>
  <c r="AB61" i="33"/>
  <c r="AB51" i="30"/>
  <c r="AB33" i="30"/>
  <c r="AB35" i="31"/>
  <c r="AB38" i="32"/>
  <c r="AB41" i="33"/>
  <c r="AB32" i="30"/>
  <c r="AB42" i="33"/>
  <c r="AB38" i="30"/>
  <c r="AB67" i="30"/>
  <c r="AB55" i="30"/>
  <c r="AB30" i="31"/>
  <c r="AB42" i="31"/>
  <c r="AB56" i="31"/>
  <c r="AB68" i="31"/>
  <c r="AB33" i="32"/>
  <c r="AB45" i="32"/>
  <c r="AB59" i="32"/>
  <c r="AB36" i="33"/>
  <c r="AB50" i="33"/>
  <c r="AB62" i="33"/>
  <c r="AB63" i="30"/>
  <c r="AB40" i="33"/>
  <c r="AB45" i="30"/>
  <c r="AB66" i="32"/>
  <c r="AB37" i="30"/>
  <c r="AB66" i="30"/>
  <c r="AB54" i="30"/>
  <c r="AB31" i="31"/>
  <c r="AB43" i="31"/>
  <c r="AB57" i="31"/>
  <c r="AB69" i="31"/>
  <c r="AB34" i="32"/>
  <c r="AB46" i="32"/>
  <c r="AB60" i="32"/>
  <c r="AB37" i="33"/>
  <c r="AB51" i="33"/>
  <c r="AB63" i="33"/>
  <c r="AB46" i="30"/>
  <c r="AB60" i="31"/>
  <c r="AB51" i="32"/>
  <c r="AB54" i="33"/>
  <c r="AB47" i="31"/>
  <c r="AB64" i="32"/>
  <c r="AB44" i="30"/>
  <c r="AB62" i="31"/>
  <c r="AB69" i="33"/>
  <c r="AB29" i="30"/>
  <c r="AB36" i="30"/>
  <c r="AB65" i="30"/>
  <c r="AB53" i="30"/>
  <c r="AB32" i="31"/>
  <c r="AB44" i="31"/>
  <c r="AB58" i="31"/>
  <c r="AB35" i="32"/>
  <c r="AB47" i="32"/>
  <c r="AB61" i="32"/>
  <c r="AB38" i="33"/>
  <c r="AB52" i="33"/>
  <c r="AB64" i="33"/>
  <c r="Y22" i="30"/>
  <c r="AI22" i="30" s="1"/>
  <c r="Z22" i="30"/>
  <c r="AJ22" i="30" s="1"/>
  <c r="U22" i="30"/>
  <c r="AE22" i="30" s="1"/>
  <c r="V22" i="30"/>
  <c r="AF22" i="30" s="1"/>
  <c r="W22" i="30"/>
  <c r="AG22" i="30" s="1"/>
  <c r="X22" i="30"/>
  <c r="AH22" i="30" s="1"/>
  <c r="Y20" i="30"/>
  <c r="K20" i="30" s="1"/>
  <c r="U21" i="30"/>
  <c r="V21" i="30"/>
  <c r="V20" i="30"/>
  <c r="W21" i="30"/>
  <c r="U20" i="30"/>
  <c r="W20" i="30"/>
  <c r="X21" i="30"/>
  <c r="X20" i="30"/>
  <c r="Y21" i="30"/>
  <c r="K21" i="30" s="1"/>
  <c r="W14" i="30"/>
  <c r="V18" i="30"/>
  <c r="V16" i="30"/>
  <c r="V12" i="30"/>
  <c r="U18" i="30"/>
  <c r="U16" i="30"/>
  <c r="U14" i="30"/>
  <c r="U12" i="30"/>
  <c r="W17" i="30"/>
  <c r="W12" i="30"/>
  <c r="W19" i="30"/>
  <c r="W13" i="30"/>
  <c r="V19" i="30"/>
  <c r="V17" i="30"/>
  <c r="V13" i="30"/>
  <c r="U19" i="30"/>
  <c r="U17" i="30"/>
  <c r="U15" i="30"/>
  <c r="U13" i="30"/>
  <c r="W18" i="30"/>
  <c r="W15" i="30"/>
  <c r="V15" i="30"/>
  <c r="W16" i="30"/>
  <c r="V14" i="30"/>
  <c r="V10" i="30"/>
  <c r="U11" i="30"/>
  <c r="U10" i="30"/>
  <c r="Z10" i="30"/>
  <c r="V11" i="30"/>
  <c r="Y10" i="30"/>
  <c r="X10" i="30"/>
  <c r="Y11" i="30"/>
  <c r="X11" i="30"/>
  <c r="Z11" i="30"/>
  <c r="W11" i="30"/>
  <c r="W10" i="30"/>
  <c r="X9" i="30"/>
  <c r="J9" i="30" s="1"/>
  <c r="Z9" i="30"/>
  <c r="L9" i="30" s="1"/>
  <c r="Y9" i="30"/>
  <c r="K9" i="30" s="1"/>
  <c r="W9" i="30"/>
  <c r="I9" i="30" s="1"/>
  <c r="V9" i="30"/>
  <c r="H9" i="30" s="1"/>
  <c r="U9" i="30"/>
  <c r="G9" i="30" s="1"/>
  <c r="U8" i="30"/>
  <c r="G8" i="30" s="1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J47" i="18" s="1"/>
  <c r="I29" i="18"/>
  <c r="B44" i="19"/>
  <c r="A44" i="20" s="1"/>
  <c r="F18" i="28"/>
  <c r="Q15" i="27"/>
  <c r="Q10" i="27"/>
  <c r="T42" i="31" a="1"/>
  <c r="X10" i="31" a="1"/>
  <c r="U18" i="31" a="1"/>
  <c r="U15" i="31" a="1"/>
  <c r="T50" i="31" a="1"/>
  <c r="T31" i="31" a="1"/>
  <c r="X21" i="31" a="1"/>
  <c r="W11" i="31" a="1"/>
  <c r="W10" i="31" a="1"/>
  <c r="T47" i="31" a="1"/>
  <c r="V10" i="31" a="1"/>
  <c r="T59" i="31" a="1"/>
  <c r="U11" i="31" a="1"/>
  <c r="T30" i="31" a="1"/>
  <c r="T52" i="31" a="1"/>
  <c r="Y9" i="31" a="1"/>
  <c r="T38" i="31" a="1"/>
  <c r="W18" i="31" a="1"/>
  <c r="T62" i="31" a="1"/>
  <c r="W9" i="31" a="1"/>
  <c r="T57" i="31" a="1"/>
  <c r="T37" i="31" a="1"/>
  <c r="W13" i="31" a="1"/>
  <c r="V9" i="31" a="1"/>
  <c r="U9" i="31" a="1"/>
  <c r="V19" i="31" a="1"/>
  <c r="W12" i="31" a="1"/>
  <c r="X22" i="31" a="1"/>
  <c r="W17" i="31" a="1"/>
  <c r="U12" i="31" a="1"/>
  <c r="X20" i="31" a="1"/>
  <c r="W16" i="31" a="1"/>
  <c r="T44" i="31" a="1"/>
  <c r="Z9" i="31" a="1"/>
  <c r="T32" i="31" a="1"/>
  <c r="W20" i="31" a="1"/>
  <c r="W15" i="31" a="1"/>
  <c r="U21" i="31" a="1"/>
  <c r="T53" i="31" a="1"/>
  <c r="T68" i="31" a="1"/>
  <c r="T69" i="31" a="1"/>
  <c r="V11" i="31" a="1"/>
  <c r="Z10" i="31" a="1"/>
  <c r="V22" i="31" a="1"/>
  <c r="T29" i="31" a="1"/>
  <c r="U14" i="31" a="1"/>
  <c r="V18" i="31" a="1"/>
  <c r="V15" i="31" a="1"/>
  <c r="X11" i="31" a="1"/>
  <c r="V17" i="31" a="1"/>
  <c r="T51" i="31" a="1"/>
  <c r="X9" i="31" a="1"/>
  <c r="Y20" i="31" a="1"/>
  <c r="V20" i="31" a="1"/>
  <c r="T45" i="31" a="1"/>
  <c r="U20" i="31" a="1"/>
  <c r="U13" i="31" a="1"/>
  <c r="Y10" i="31" a="1"/>
  <c r="V14" i="31" a="1"/>
  <c r="T34" i="31" a="1"/>
  <c r="T36" i="31" a="1"/>
  <c r="V16" i="31" a="1"/>
  <c r="V13" i="31" a="1"/>
  <c r="U19" i="31" a="1"/>
  <c r="V12" i="31" a="1"/>
  <c r="Z22" i="31" a="1"/>
  <c r="T58" i="31" a="1"/>
  <c r="T39" i="31" a="1"/>
  <c r="T43" i="31" a="1"/>
  <c r="T63" i="31" a="1"/>
  <c r="U16" i="31" a="1"/>
  <c r="W14" i="31" a="1"/>
  <c r="U8" i="31" a="1"/>
  <c r="Y22" i="31" a="1"/>
  <c r="U17" i="31" a="1"/>
  <c r="U22" i="31" a="1"/>
  <c r="T61" i="31" a="1"/>
  <c r="T35" i="31" a="1"/>
  <c r="T54" i="31" a="1"/>
  <c r="T67" i="31" a="1"/>
  <c r="T46" i="31" a="1"/>
  <c r="W22" i="31" a="1"/>
  <c r="T41" i="31" a="1"/>
  <c r="W21" i="31" a="1"/>
  <c r="T33" i="31" a="1"/>
  <c r="Y11" i="31" a="1"/>
  <c r="T40" i="31" a="1"/>
  <c r="T66" i="31" a="1"/>
  <c r="T64" i="31" a="1"/>
  <c r="T60" i="31" a="1"/>
  <c r="Z11" i="31" a="1"/>
  <c r="T55" i="31" a="1"/>
  <c r="V21" i="31" a="1"/>
  <c r="Y21" i="31" a="1"/>
  <c r="W19" i="31" a="1"/>
  <c r="T65" i="31" a="1"/>
  <c r="U10" i="31" a="1"/>
  <c r="T56" i="31" a="1"/>
  <c r="T29" i="31" l="1"/>
  <c r="T33" i="31"/>
  <c r="T41" i="31"/>
  <c r="T46" i="31"/>
  <c r="T56" i="31"/>
  <c r="T59" i="31"/>
  <c r="T44" i="31"/>
  <c r="T54" i="31"/>
  <c r="T68" i="31"/>
  <c r="T30" i="31"/>
  <c r="T66" i="31"/>
  <c r="T39" i="31"/>
  <c r="T43" i="31"/>
  <c r="T51" i="31"/>
  <c r="T37" i="31"/>
  <c r="T57" i="31"/>
  <c r="T62" i="31"/>
  <c r="T45" i="31"/>
  <c r="T69" i="31"/>
  <c r="T34" i="31"/>
  <c r="T42" i="31"/>
  <c r="T63" i="31"/>
  <c r="T40" i="31"/>
  <c r="T52" i="31"/>
  <c r="T55" i="31"/>
  <c r="T31" i="31"/>
  <c r="T64" i="31"/>
  <c r="T53" i="31"/>
  <c r="T67" i="31"/>
  <c r="T61" i="31"/>
  <c r="T35" i="31"/>
  <c r="T65" i="31"/>
  <c r="T38" i="31"/>
  <c r="T58" i="31"/>
  <c r="T47" i="31"/>
  <c r="T36" i="31"/>
  <c r="T32" i="31"/>
  <c r="T50" i="31"/>
  <c r="T60" i="31"/>
  <c r="A29" i="30"/>
  <c r="V29" i="30"/>
  <c r="AF29" i="30" s="1"/>
  <c r="U29" i="30"/>
  <c r="AE29" i="30" s="1"/>
  <c r="A33" i="30"/>
  <c r="U33" i="30"/>
  <c r="AE33" i="30" s="1"/>
  <c r="V33" i="30"/>
  <c r="AF33" i="30" s="1"/>
  <c r="A41" i="30"/>
  <c r="V41" i="30"/>
  <c r="AF41" i="30" s="1"/>
  <c r="U41" i="30"/>
  <c r="AE41" i="30" s="1"/>
  <c r="A46" i="30"/>
  <c r="U46" i="30"/>
  <c r="AE46" i="30" s="1"/>
  <c r="V46" i="30"/>
  <c r="AF46" i="30" s="1"/>
  <c r="A56" i="30"/>
  <c r="V56" i="30"/>
  <c r="AF56" i="30" s="1"/>
  <c r="U56" i="30"/>
  <c r="AE56" i="30" s="1"/>
  <c r="A59" i="30"/>
  <c r="U59" i="30"/>
  <c r="AE59" i="30" s="1"/>
  <c r="V59" i="30"/>
  <c r="AF59" i="30" s="1"/>
  <c r="A44" i="30"/>
  <c r="V44" i="30"/>
  <c r="AF44" i="30" s="1"/>
  <c r="U44" i="30"/>
  <c r="AE44" i="30" s="1"/>
  <c r="A54" i="30"/>
  <c r="V54" i="30"/>
  <c r="AF54" i="30" s="1"/>
  <c r="U54" i="30"/>
  <c r="AE54" i="30" s="1"/>
  <c r="A68" i="30"/>
  <c r="V68" i="30"/>
  <c r="AF68" i="30" s="1"/>
  <c r="U68" i="30"/>
  <c r="AE68" i="30" s="1"/>
  <c r="A30" i="30"/>
  <c r="U30" i="30"/>
  <c r="AE30" i="30" s="1"/>
  <c r="V30" i="30"/>
  <c r="AF30" i="30" s="1"/>
  <c r="A66" i="30"/>
  <c r="V66" i="30"/>
  <c r="AF66" i="30" s="1"/>
  <c r="U66" i="30"/>
  <c r="AE66" i="30" s="1"/>
  <c r="A39" i="30"/>
  <c r="U39" i="30"/>
  <c r="AE39" i="30" s="1"/>
  <c r="V39" i="30"/>
  <c r="AF39" i="30" s="1"/>
  <c r="A43" i="30"/>
  <c r="V43" i="30"/>
  <c r="AF43" i="30" s="1"/>
  <c r="U43" i="30"/>
  <c r="AE43" i="30" s="1"/>
  <c r="A51" i="30"/>
  <c r="U51" i="30"/>
  <c r="AE51" i="30" s="1"/>
  <c r="V51" i="30"/>
  <c r="AF51" i="30" s="1"/>
  <c r="A37" i="30"/>
  <c r="V37" i="30"/>
  <c r="AF37" i="30" s="1"/>
  <c r="U37" i="30"/>
  <c r="AE37" i="30" s="1"/>
  <c r="A57" i="30"/>
  <c r="U57" i="30"/>
  <c r="AE57" i="30" s="1"/>
  <c r="V57" i="30"/>
  <c r="AF57" i="30" s="1"/>
  <c r="A62" i="30"/>
  <c r="V62" i="30"/>
  <c r="AF62" i="30" s="1"/>
  <c r="U62" i="30"/>
  <c r="AE62" i="30" s="1"/>
  <c r="A45" i="30"/>
  <c r="V45" i="30"/>
  <c r="AF45" i="30" s="1"/>
  <c r="U45" i="30"/>
  <c r="AE45" i="30" s="1"/>
  <c r="A69" i="30"/>
  <c r="U69" i="30"/>
  <c r="AE69" i="30" s="1"/>
  <c r="V69" i="30"/>
  <c r="AF69" i="30" s="1"/>
  <c r="A34" i="30"/>
  <c r="V34" i="30"/>
  <c r="AF34" i="30" s="1"/>
  <c r="U34" i="30"/>
  <c r="AE34" i="30" s="1"/>
  <c r="A42" i="30"/>
  <c r="U42" i="30"/>
  <c r="AE42" i="30" s="1"/>
  <c r="V42" i="30"/>
  <c r="AF42" i="30" s="1"/>
  <c r="A63" i="30"/>
  <c r="U63" i="30"/>
  <c r="AE63" i="30" s="1"/>
  <c r="V63" i="30"/>
  <c r="AF63" i="30" s="1"/>
  <c r="A40" i="30"/>
  <c r="V40" i="30"/>
  <c r="AF40" i="30" s="1"/>
  <c r="U40" i="30"/>
  <c r="AE40" i="30" s="1"/>
  <c r="A52" i="30"/>
  <c r="U52" i="30"/>
  <c r="AE52" i="30" s="1"/>
  <c r="V52" i="30"/>
  <c r="AF52" i="30" s="1"/>
  <c r="A55" i="30"/>
  <c r="V55" i="30"/>
  <c r="AF55" i="30" s="1"/>
  <c r="U55" i="30"/>
  <c r="AE55" i="30" s="1"/>
  <c r="A31" i="30"/>
  <c r="U31" i="30"/>
  <c r="AE31" i="30" s="1"/>
  <c r="V31" i="30"/>
  <c r="AF31" i="30" s="1"/>
  <c r="A64" i="30"/>
  <c r="V64" i="30"/>
  <c r="AF64" i="30" s="1"/>
  <c r="U64" i="30"/>
  <c r="AE64" i="30" s="1"/>
  <c r="A53" i="30"/>
  <c r="U53" i="30"/>
  <c r="AE53" i="30" s="1"/>
  <c r="V53" i="30"/>
  <c r="AF53" i="30" s="1"/>
  <c r="A67" i="30"/>
  <c r="U67" i="30"/>
  <c r="AE67" i="30" s="1"/>
  <c r="V67" i="30"/>
  <c r="AF67" i="30" s="1"/>
  <c r="A61" i="30"/>
  <c r="U61" i="30"/>
  <c r="AE61" i="30" s="1"/>
  <c r="V61" i="30"/>
  <c r="AF61" i="30" s="1"/>
  <c r="A35" i="30"/>
  <c r="U35" i="30"/>
  <c r="AE35" i="30" s="1"/>
  <c r="V35" i="30"/>
  <c r="AF35" i="30" s="1"/>
  <c r="A65" i="30"/>
  <c r="V65" i="30"/>
  <c r="AF65" i="30" s="1"/>
  <c r="U65" i="30"/>
  <c r="AE65" i="30" s="1"/>
  <c r="A38" i="30"/>
  <c r="V38" i="30"/>
  <c r="AF38" i="30" s="1"/>
  <c r="U38" i="30"/>
  <c r="AE38" i="30" s="1"/>
  <c r="A58" i="30"/>
  <c r="V58" i="30"/>
  <c r="AF58" i="30" s="1"/>
  <c r="U58" i="30"/>
  <c r="AE58" i="30" s="1"/>
  <c r="A47" i="30"/>
  <c r="V47" i="30"/>
  <c r="AF47" i="30" s="1"/>
  <c r="U47" i="30"/>
  <c r="AE47" i="30" s="1"/>
  <c r="A36" i="30"/>
  <c r="U36" i="30"/>
  <c r="AE36" i="30" s="1"/>
  <c r="V36" i="30"/>
  <c r="AF36" i="30" s="1"/>
  <c r="A32" i="30"/>
  <c r="U32" i="30"/>
  <c r="AE32" i="30" s="1"/>
  <c r="V32" i="30"/>
  <c r="AF32" i="30" s="1"/>
  <c r="A50" i="30"/>
  <c r="V50" i="30"/>
  <c r="AF50" i="30" s="1"/>
  <c r="U50" i="30"/>
  <c r="AE50" i="30" s="1"/>
  <c r="A60" i="30"/>
  <c r="U60" i="30"/>
  <c r="AE60" i="30" s="1"/>
  <c r="V60" i="30"/>
  <c r="AF60" i="30" s="1"/>
  <c r="AH20" i="30"/>
  <c r="J20" i="30"/>
  <c r="AH21" i="30"/>
  <c r="J21" i="30"/>
  <c r="AG20" i="30"/>
  <c r="I20" i="30"/>
  <c r="AE20" i="30"/>
  <c r="G20" i="30"/>
  <c r="AF21" i="30"/>
  <c r="H21" i="30"/>
  <c r="AG21" i="30"/>
  <c r="I21" i="30"/>
  <c r="AF20" i="30"/>
  <c r="H20" i="30"/>
  <c r="AE21" i="30"/>
  <c r="G21" i="30"/>
  <c r="AF13" i="30"/>
  <c r="H13" i="30"/>
  <c r="AF18" i="30"/>
  <c r="H18" i="30"/>
  <c r="AF19" i="30"/>
  <c r="H19" i="30"/>
  <c r="AF14" i="30"/>
  <c r="H14" i="30"/>
  <c r="AG13" i="30"/>
  <c r="I13" i="30"/>
  <c r="AE19" i="30"/>
  <c r="G19" i="30"/>
  <c r="AF16" i="30"/>
  <c r="H16" i="30"/>
  <c r="AF17" i="30"/>
  <c r="H17" i="30"/>
  <c r="AG16" i="30"/>
  <c r="I16" i="30"/>
  <c r="AG19" i="30"/>
  <c r="I19" i="30"/>
  <c r="AF12" i="30"/>
  <c r="H12" i="30"/>
  <c r="AG14" i="30"/>
  <c r="I14" i="30"/>
  <c r="AF15" i="30"/>
  <c r="H15" i="30"/>
  <c r="AG12" i="30"/>
  <c r="I12" i="30"/>
  <c r="AG17" i="30"/>
  <c r="I17" i="30"/>
  <c r="AG15" i="30"/>
  <c r="I15" i="30"/>
  <c r="AG18" i="30"/>
  <c r="I18" i="30"/>
  <c r="AE12" i="30"/>
  <c r="G12" i="30"/>
  <c r="AE13" i="30"/>
  <c r="G13" i="30"/>
  <c r="AE14" i="30"/>
  <c r="G14" i="30"/>
  <c r="AE15" i="30"/>
  <c r="G15" i="30"/>
  <c r="AE16" i="30"/>
  <c r="G16" i="30"/>
  <c r="AE17" i="30"/>
  <c r="G17" i="30"/>
  <c r="AE18" i="30"/>
  <c r="G18" i="30"/>
  <c r="AJ10" i="30"/>
  <c r="L10" i="30"/>
  <c r="AE11" i="30"/>
  <c r="G11" i="30"/>
  <c r="AH10" i="30"/>
  <c r="J10" i="30"/>
  <c r="AG10" i="30"/>
  <c r="I10" i="30"/>
  <c r="AG11" i="30"/>
  <c r="I11" i="30"/>
  <c r="AJ11" i="30"/>
  <c r="L11" i="30"/>
  <c r="AI11" i="30"/>
  <c r="K11" i="30"/>
  <c r="AF10" i="30"/>
  <c r="H10" i="30"/>
  <c r="AH11" i="30"/>
  <c r="J11" i="30"/>
  <c r="AI10" i="30"/>
  <c r="K10" i="30"/>
  <c r="AF11" i="30"/>
  <c r="H11" i="30"/>
  <c r="AE10" i="30"/>
  <c r="G10" i="30"/>
  <c r="AI9" i="30"/>
  <c r="AJ9" i="30"/>
  <c r="AH9" i="30"/>
  <c r="AG9" i="30"/>
  <c r="AF9" i="30"/>
  <c r="AE9" i="30"/>
  <c r="AE8" i="30"/>
  <c r="V17" i="31"/>
  <c r="X9" i="31"/>
  <c r="V19" i="31"/>
  <c r="W22" i="31"/>
  <c r="AG22" i="31" s="1"/>
  <c r="W10" i="31"/>
  <c r="W13" i="31"/>
  <c r="V22" i="31"/>
  <c r="AF22" i="31" s="1"/>
  <c r="W16" i="31"/>
  <c r="W19" i="31"/>
  <c r="X20" i="31"/>
  <c r="U22" i="31"/>
  <c r="AE22" i="31" s="1"/>
  <c r="V15" i="31"/>
  <c r="W12" i="31"/>
  <c r="Z22" i="31"/>
  <c r="AJ22" i="31" s="1"/>
  <c r="X11" i="31"/>
  <c r="W15" i="31"/>
  <c r="W20" i="31"/>
  <c r="Y22" i="31"/>
  <c r="AI22" i="31" s="1"/>
  <c r="W18" i="31"/>
  <c r="U12" i="31"/>
  <c r="U20" i="31"/>
  <c r="V18" i="31"/>
  <c r="V10" i="31"/>
  <c r="W14" i="31"/>
  <c r="V14" i="31"/>
  <c r="Y21" i="31"/>
  <c r="K21" i="31" s="1"/>
  <c r="U8" i="31"/>
  <c r="G8" i="31" s="1"/>
  <c r="X10" i="31"/>
  <c r="U13" i="31"/>
  <c r="U14" i="31"/>
  <c r="W21" i="31"/>
  <c r="Y10" i="31"/>
  <c r="U15" i="31"/>
  <c r="V20" i="31"/>
  <c r="V11" i="31"/>
  <c r="U18" i="31"/>
  <c r="V21" i="31"/>
  <c r="Z10" i="31"/>
  <c r="U19" i="31"/>
  <c r="V12" i="31"/>
  <c r="U10" i="31"/>
  <c r="V13" i="31"/>
  <c r="V16" i="31"/>
  <c r="Y20" i="31"/>
  <c r="K20" i="31" s="1"/>
  <c r="U16" i="31"/>
  <c r="U17" i="31"/>
  <c r="U11" i="31"/>
  <c r="W9" i="31"/>
  <c r="X21" i="31"/>
  <c r="Z9" i="31"/>
  <c r="Y11" i="31"/>
  <c r="W17" i="31"/>
  <c r="Z11" i="31"/>
  <c r="X22" i="31"/>
  <c r="AH22" i="31" s="1"/>
  <c r="V9" i="31"/>
  <c r="U21" i="31"/>
  <c r="U9" i="31"/>
  <c r="W11" i="31"/>
  <c r="Y9" i="31"/>
  <c r="H44" i="20"/>
  <c r="G44" i="20"/>
  <c r="D2" i="27"/>
  <c r="E2" i="27" s="1"/>
  <c r="F2" i="27" s="1"/>
  <c r="G2" i="27" s="1"/>
  <c r="H2" i="27" s="1"/>
  <c r="I2" i="27" s="1"/>
  <c r="J2" i="27" s="1"/>
  <c r="K2" i="27" s="1"/>
  <c r="L2" i="27" s="1"/>
  <c r="M2" i="27" s="1"/>
  <c r="N2" i="27" s="1"/>
  <c r="O2" i="27" s="1"/>
  <c r="P2" i="27" s="1"/>
  <c r="Q2" i="27" s="1"/>
  <c r="R2" i="27" s="1"/>
  <c r="S2" i="27" s="1"/>
  <c r="T2" i="27" s="1"/>
  <c r="U2" i="27" s="1"/>
  <c r="V2" i="27" s="1"/>
  <c r="Q11" i="27"/>
  <c r="S11" i="27"/>
  <c r="R10" i="27"/>
  <c r="U11" i="27"/>
  <c r="U10" i="27"/>
  <c r="S10" i="27"/>
  <c r="T10" i="27"/>
  <c r="V10" i="27"/>
  <c r="T11" i="27"/>
  <c r="V11" i="27"/>
  <c r="R11" i="27"/>
  <c r="T36" i="32" a="1"/>
  <c r="U14" i="32" a="1"/>
  <c r="U9" i="32" a="1"/>
  <c r="T42" i="32" a="1"/>
  <c r="V22" i="32" a="1"/>
  <c r="V21" i="32" a="1"/>
  <c r="T59" i="32" a="1"/>
  <c r="V9" i="32" a="1"/>
  <c r="V16" i="32" a="1"/>
  <c r="V13" i="32" a="1"/>
  <c r="U17" i="32" a="1"/>
  <c r="X20" i="32" a="1"/>
  <c r="T56" i="32" a="1"/>
  <c r="W19" i="32" a="1"/>
  <c r="V20" i="32" a="1"/>
  <c r="T41" i="32" a="1"/>
  <c r="V12" i="32" a="1"/>
  <c r="Z10" i="32" a="1"/>
  <c r="U10" i="32" a="1"/>
  <c r="T38" i="32" a="1"/>
  <c r="W21" i="32" a="1"/>
  <c r="W17" i="32" a="1"/>
  <c r="T47" i="32" a="1"/>
  <c r="V15" i="32" a="1"/>
  <c r="U18" i="32" a="1"/>
  <c r="W12" i="32" a="1"/>
  <c r="T66" i="32" a="1"/>
  <c r="V11" i="32" a="1"/>
  <c r="Y21" i="32" a="1"/>
  <c r="X9" i="32" a="1"/>
  <c r="T62" i="32" a="1"/>
  <c r="V18" i="32" a="1"/>
  <c r="U12" i="32" a="1"/>
  <c r="W22" i="32" a="1"/>
  <c r="T29" i="32" a="1"/>
  <c r="T51" i="32" a="1"/>
  <c r="X22" i="32" a="1"/>
  <c r="T40" i="32" a="1"/>
  <c r="T58" i="32" a="1"/>
  <c r="Y10" i="32" a="1"/>
  <c r="T44" i="32" a="1"/>
  <c r="V19" i="32" a="1"/>
  <c r="T52" i="32" a="1"/>
  <c r="W16" i="32" a="1"/>
  <c r="T39" i="32" a="1"/>
  <c r="V10" i="32" a="1"/>
  <c r="W15" i="32" a="1"/>
  <c r="Z9" i="32" a="1"/>
  <c r="T46" i="32" a="1"/>
  <c r="T35" i="32" a="1"/>
  <c r="T53" i="32" a="1"/>
  <c r="U11" i="32" a="1"/>
  <c r="W18" i="32" a="1"/>
  <c r="T33" i="32" a="1"/>
  <c r="W14" i="32" a="1"/>
  <c r="U19" i="32" a="1"/>
  <c r="V17" i="32" a="1"/>
  <c r="X11" i="32" a="1"/>
  <c r="U20" i="32" a="1"/>
  <c r="Z11" i="32" a="1"/>
  <c r="T31" i="32" a="1"/>
  <c r="Y22" i="32" a="1"/>
  <c r="X10" i="32" a="1"/>
  <c r="T32" i="32" a="1"/>
  <c r="Z22" i="32" a="1"/>
  <c r="T30" i="32" a="1"/>
  <c r="U22" i="32" a="1"/>
  <c r="T57" i="32" a="1"/>
  <c r="U21" i="32" a="1"/>
  <c r="W10" i="32" a="1"/>
  <c r="W13" i="32" a="1"/>
  <c r="V14" i="32" a="1"/>
  <c r="Y9" i="32" a="1"/>
  <c r="T50" i="32" a="1"/>
  <c r="Y20" i="32" a="1"/>
  <c r="T54" i="32" a="1"/>
  <c r="T60" i="32" a="1"/>
  <c r="T37" i="32" a="1"/>
  <c r="T63" i="32" a="1"/>
  <c r="T64" i="32" a="1"/>
  <c r="T69" i="32" a="1"/>
  <c r="T65" i="32" a="1"/>
  <c r="T34" i="32" a="1"/>
  <c r="T67" i="32" a="1"/>
  <c r="T68" i="32" a="1"/>
  <c r="T43" i="32" a="1"/>
  <c r="U8" i="32" a="1"/>
  <c r="T45" i="32" a="1"/>
  <c r="W20" i="32" a="1"/>
  <c r="U15" i="32" a="1"/>
  <c r="X21" i="32" a="1"/>
  <c r="T61" i="32" a="1"/>
  <c r="Y11" i="32" a="1"/>
  <c r="W11" i="32" a="1"/>
  <c r="T55" i="32" a="1"/>
  <c r="W9" i="32" a="1"/>
  <c r="U13" i="32" a="1"/>
  <c r="U16" i="32" a="1"/>
  <c r="T39" i="32" l="1"/>
  <c r="T47" i="32"/>
  <c r="T40" i="32"/>
  <c r="T66" i="32"/>
  <c r="T58" i="32"/>
  <c r="T63" i="32"/>
  <c r="T30" i="32"/>
  <c r="T38" i="32"/>
  <c r="T42" i="32"/>
  <c r="T68" i="32"/>
  <c r="T65" i="32"/>
  <c r="T34" i="32"/>
  <c r="T54" i="32"/>
  <c r="T35" i="32"/>
  <c r="T69" i="32"/>
  <c r="T44" i="32"/>
  <c r="T61" i="32"/>
  <c r="T45" i="32"/>
  <c r="T59" i="32"/>
  <c r="T36" i="32"/>
  <c r="T67" i="32"/>
  <c r="T62" i="32"/>
  <c r="T56" i="32"/>
  <c r="T53" i="32"/>
  <c r="T57" i="32"/>
  <c r="T46" i="32"/>
  <c r="T52" i="32"/>
  <c r="T60" i="32"/>
  <c r="T64" i="32"/>
  <c r="T37" i="32"/>
  <c r="T41" i="32"/>
  <c r="T50" i="32"/>
  <c r="T31" i="32"/>
  <c r="T51" i="32"/>
  <c r="T33" i="32"/>
  <c r="T32" i="32"/>
  <c r="T55" i="32"/>
  <c r="T43" i="32"/>
  <c r="T29" i="32"/>
  <c r="A39" i="31"/>
  <c r="U39" i="31"/>
  <c r="AE39" i="31" s="1"/>
  <c r="V39" i="31"/>
  <c r="AF39" i="31" s="1"/>
  <c r="A47" i="31"/>
  <c r="U47" i="31"/>
  <c r="AE47" i="31" s="1"/>
  <c r="V47" i="31"/>
  <c r="AF47" i="31" s="1"/>
  <c r="A40" i="31"/>
  <c r="U40" i="31"/>
  <c r="AE40" i="31" s="1"/>
  <c r="V40" i="31"/>
  <c r="AF40" i="31" s="1"/>
  <c r="A66" i="31"/>
  <c r="U66" i="31"/>
  <c r="AE66" i="31" s="1"/>
  <c r="V66" i="31"/>
  <c r="AF66" i="31" s="1"/>
  <c r="A58" i="31"/>
  <c r="U58" i="31"/>
  <c r="AE58" i="31" s="1"/>
  <c r="V58" i="31"/>
  <c r="AF58" i="31" s="1"/>
  <c r="A63" i="31"/>
  <c r="U63" i="31"/>
  <c r="AE63" i="31" s="1"/>
  <c r="V63" i="31"/>
  <c r="AF63" i="31" s="1"/>
  <c r="A30" i="31"/>
  <c r="U30" i="31"/>
  <c r="AE30" i="31" s="1"/>
  <c r="V30" i="31"/>
  <c r="AF30" i="31" s="1"/>
  <c r="A38" i="31"/>
  <c r="U38" i="31"/>
  <c r="AE38" i="31" s="1"/>
  <c r="V38" i="31"/>
  <c r="AF38" i="31" s="1"/>
  <c r="A42" i="31"/>
  <c r="U42" i="31"/>
  <c r="AE42" i="31" s="1"/>
  <c r="V42" i="31"/>
  <c r="AF42" i="31" s="1"/>
  <c r="A68" i="31"/>
  <c r="U68" i="31"/>
  <c r="AE68" i="31" s="1"/>
  <c r="V68" i="31"/>
  <c r="AF68" i="31" s="1"/>
  <c r="A65" i="31"/>
  <c r="U65" i="31"/>
  <c r="AE65" i="31" s="1"/>
  <c r="V65" i="31"/>
  <c r="AF65" i="31" s="1"/>
  <c r="A34" i="31"/>
  <c r="V34" i="31"/>
  <c r="AF34" i="31" s="1"/>
  <c r="U34" i="31"/>
  <c r="AE34" i="31" s="1"/>
  <c r="A54" i="31"/>
  <c r="U54" i="31"/>
  <c r="AE54" i="31" s="1"/>
  <c r="V54" i="31"/>
  <c r="AF54" i="31" s="1"/>
  <c r="A35" i="31"/>
  <c r="V35" i="31"/>
  <c r="AF35" i="31" s="1"/>
  <c r="U35" i="31"/>
  <c r="AE35" i="31" s="1"/>
  <c r="A69" i="31"/>
  <c r="U69" i="31"/>
  <c r="AE69" i="31" s="1"/>
  <c r="V69" i="31"/>
  <c r="AF69" i="31" s="1"/>
  <c r="A44" i="31"/>
  <c r="U44" i="31"/>
  <c r="AE44" i="31" s="1"/>
  <c r="V44" i="31"/>
  <c r="AF44" i="31" s="1"/>
  <c r="A61" i="31"/>
  <c r="V61" i="31"/>
  <c r="AF61" i="31" s="1"/>
  <c r="U61" i="31"/>
  <c r="AE61" i="31" s="1"/>
  <c r="A45" i="31"/>
  <c r="U45" i="31"/>
  <c r="AE45" i="31" s="1"/>
  <c r="V45" i="31"/>
  <c r="AF45" i="31" s="1"/>
  <c r="A59" i="31"/>
  <c r="U59" i="31"/>
  <c r="AE59" i="31" s="1"/>
  <c r="V59" i="31"/>
  <c r="AF59" i="31" s="1"/>
  <c r="A36" i="31"/>
  <c r="V36" i="31"/>
  <c r="AF36" i="31" s="1"/>
  <c r="U36" i="31"/>
  <c r="AE36" i="31" s="1"/>
  <c r="A67" i="31"/>
  <c r="V67" i="31"/>
  <c r="AF67" i="31" s="1"/>
  <c r="U67" i="31"/>
  <c r="AE67" i="31" s="1"/>
  <c r="A62" i="31"/>
  <c r="U62" i="31"/>
  <c r="AE62" i="31" s="1"/>
  <c r="V62" i="31"/>
  <c r="AF62" i="31" s="1"/>
  <c r="A56" i="31"/>
  <c r="U56" i="31"/>
  <c r="AE56" i="31" s="1"/>
  <c r="V56" i="31"/>
  <c r="AF56" i="31" s="1"/>
  <c r="A53" i="31"/>
  <c r="U53" i="31"/>
  <c r="AE53" i="31" s="1"/>
  <c r="V53" i="31"/>
  <c r="AF53" i="31" s="1"/>
  <c r="A57" i="31"/>
  <c r="U57" i="31"/>
  <c r="AE57" i="31" s="1"/>
  <c r="V57" i="31"/>
  <c r="AF57" i="31" s="1"/>
  <c r="A46" i="31"/>
  <c r="U46" i="31"/>
  <c r="AE46" i="31" s="1"/>
  <c r="V46" i="31"/>
  <c r="AF46" i="31" s="1"/>
  <c r="A52" i="31"/>
  <c r="U52" i="31"/>
  <c r="AE52" i="31" s="1"/>
  <c r="V52" i="31"/>
  <c r="AF52" i="31" s="1"/>
  <c r="A60" i="31"/>
  <c r="U60" i="31"/>
  <c r="AE60" i="31" s="1"/>
  <c r="V60" i="31"/>
  <c r="AF60" i="31" s="1"/>
  <c r="A64" i="31"/>
  <c r="U64" i="31"/>
  <c r="AE64" i="31" s="1"/>
  <c r="V64" i="31"/>
  <c r="AF64" i="31" s="1"/>
  <c r="A37" i="31"/>
  <c r="U37" i="31"/>
  <c r="AE37" i="31" s="1"/>
  <c r="V37" i="31"/>
  <c r="AF37" i="31" s="1"/>
  <c r="A41" i="31"/>
  <c r="V41" i="31"/>
  <c r="AF41" i="31" s="1"/>
  <c r="U41" i="31"/>
  <c r="AE41" i="31" s="1"/>
  <c r="A50" i="31"/>
  <c r="V50" i="31"/>
  <c r="AF50" i="31" s="1"/>
  <c r="U50" i="31"/>
  <c r="AE50" i="31" s="1"/>
  <c r="A31" i="31"/>
  <c r="U31" i="31"/>
  <c r="AE31" i="31" s="1"/>
  <c r="V31" i="31"/>
  <c r="AF31" i="31" s="1"/>
  <c r="A51" i="31"/>
  <c r="U51" i="31"/>
  <c r="AE51" i="31" s="1"/>
  <c r="V51" i="31"/>
  <c r="AF51" i="31" s="1"/>
  <c r="A33" i="31"/>
  <c r="U33" i="31"/>
  <c r="AE33" i="31" s="1"/>
  <c r="V33" i="31"/>
  <c r="AF33" i="31" s="1"/>
  <c r="A32" i="31"/>
  <c r="U32" i="31"/>
  <c r="AE32" i="31" s="1"/>
  <c r="V32" i="31"/>
  <c r="AF32" i="31" s="1"/>
  <c r="A55" i="31"/>
  <c r="U55" i="31"/>
  <c r="AE55" i="31" s="1"/>
  <c r="V55" i="31"/>
  <c r="AF55" i="31" s="1"/>
  <c r="A43" i="31"/>
  <c r="V43" i="31"/>
  <c r="AF43" i="31" s="1"/>
  <c r="U43" i="31"/>
  <c r="AE43" i="31" s="1"/>
  <c r="A29" i="31"/>
  <c r="U29" i="31"/>
  <c r="AE29" i="31" s="1"/>
  <c r="V29" i="31"/>
  <c r="AF29" i="31" s="1"/>
  <c r="AG21" i="31"/>
  <c r="I21" i="31"/>
  <c r="AH21" i="31"/>
  <c r="J21" i="31"/>
  <c r="AG20" i="31"/>
  <c r="I20" i="31"/>
  <c r="AF20" i="31"/>
  <c r="H20" i="31"/>
  <c r="AE21" i="31"/>
  <c r="G21" i="31"/>
  <c r="AE20" i="31"/>
  <c r="G20" i="31"/>
  <c r="AF21" i="31"/>
  <c r="H21" i="31"/>
  <c r="AH20" i="31"/>
  <c r="J20" i="31"/>
  <c r="AG18" i="31"/>
  <c r="I18" i="31"/>
  <c r="AF16" i="31"/>
  <c r="H16" i="31"/>
  <c r="AE18" i="31"/>
  <c r="G18" i="31"/>
  <c r="AG19" i="31"/>
  <c r="I19" i="31"/>
  <c r="AF13" i="31"/>
  <c r="H13" i="31"/>
  <c r="AG14" i="31"/>
  <c r="I14" i="31"/>
  <c r="AG16" i="31"/>
  <c r="I16" i="31"/>
  <c r="AE12" i="31"/>
  <c r="G12" i="31"/>
  <c r="AF17" i="31"/>
  <c r="H17" i="31"/>
  <c r="AE17" i="31"/>
  <c r="G17" i="31"/>
  <c r="AE14" i="31"/>
  <c r="G14" i="31"/>
  <c r="AG12" i="31"/>
  <c r="I12" i="31"/>
  <c r="AF14" i="31"/>
  <c r="H14" i="31"/>
  <c r="AE13" i="31"/>
  <c r="G13" i="31"/>
  <c r="AF18" i="31"/>
  <c r="H18" i="31"/>
  <c r="AF15" i="31"/>
  <c r="H15" i="31"/>
  <c r="AG13" i="31"/>
  <c r="I13" i="31"/>
  <c r="AF12" i="31"/>
  <c r="H12" i="31"/>
  <c r="AG15" i="31"/>
  <c r="I15" i="31"/>
  <c r="AG17" i="31"/>
  <c r="I17" i="31"/>
  <c r="AE19" i="31"/>
  <c r="G19" i="31"/>
  <c r="AE16" i="31"/>
  <c r="G16" i="31"/>
  <c r="AE15" i="31"/>
  <c r="G15" i="31"/>
  <c r="AF19" i="31"/>
  <c r="H19" i="31"/>
  <c r="AE11" i="31"/>
  <c r="G11" i="31"/>
  <c r="AE10" i="31"/>
  <c r="G10" i="31"/>
  <c r="AF10" i="31"/>
  <c r="H10" i="31"/>
  <c r="AJ11" i="31"/>
  <c r="L11" i="31"/>
  <c r="AG10" i="31"/>
  <c r="I10" i="31"/>
  <c r="AJ10" i="31"/>
  <c r="L10" i="31"/>
  <c r="AF11" i="31"/>
  <c r="H11" i="31"/>
  <c r="AG11" i="31"/>
  <c r="I11" i="31"/>
  <c r="AH10" i="31"/>
  <c r="J10" i="31"/>
  <c r="AH11" i="31"/>
  <c r="J11" i="31"/>
  <c r="AI11" i="31"/>
  <c r="K11" i="31"/>
  <c r="AI10" i="31"/>
  <c r="K10" i="31"/>
  <c r="AG9" i="31"/>
  <c r="I9" i="31"/>
  <c r="AH9" i="31"/>
  <c r="J9" i="31"/>
  <c r="AI9" i="31"/>
  <c r="K9" i="31"/>
  <c r="AF9" i="31"/>
  <c r="H9" i="31"/>
  <c r="AJ9" i="31"/>
  <c r="L9" i="31"/>
  <c r="AE9" i="31"/>
  <c r="G9" i="31"/>
  <c r="AE8" i="31"/>
  <c r="U13" i="32"/>
  <c r="W13" i="32"/>
  <c r="W10" i="32"/>
  <c r="U8" i="32"/>
  <c r="G8" i="32" s="1"/>
  <c r="W15" i="32"/>
  <c r="U16" i="32"/>
  <c r="Z10" i="32"/>
  <c r="U15" i="32"/>
  <c r="W22" i="32"/>
  <c r="AG22" i="32" s="1"/>
  <c r="U21" i="32"/>
  <c r="Y11" i="32"/>
  <c r="Y10" i="32"/>
  <c r="Y21" i="32"/>
  <c r="K21" i="32" s="1"/>
  <c r="U20" i="32"/>
  <c r="V19" i="32"/>
  <c r="U12" i="32"/>
  <c r="X9" i="32"/>
  <c r="V9" i="32"/>
  <c r="U11" i="32"/>
  <c r="Y20" i="32"/>
  <c r="K20" i="32" s="1"/>
  <c r="V21" i="32"/>
  <c r="W18" i="32"/>
  <c r="X20" i="32"/>
  <c r="V15" i="32"/>
  <c r="W11" i="32"/>
  <c r="W14" i="32"/>
  <c r="Y22" i="32"/>
  <c r="AI22" i="32" s="1"/>
  <c r="W20" i="32"/>
  <c r="V14" i="32"/>
  <c r="U22" i="32"/>
  <c r="AE22" i="32" s="1"/>
  <c r="V16" i="32"/>
  <c r="U18" i="32"/>
  <c r="W19" i="32"/>
  <c r="Y9" i="32"/>
  <c r="X22" i="32"/>
  <c r="AH22" i="32" s="1"/>
  <c r="Z9" i="32"/>
  <c r="V13" i="32"/>
  <c r="V11" i="32"/>
  <c r="W16" i="32"/>
  <c r="U10" i="32"/>
  <c r="W21" i="32"/>
  <c r="V10" i="32"/>
  <c r="Z22" i="32"/>
  <c r="AJ22" i="32" s="1"/>
  <c r="V17" i="32"/>
  <c r="Z11" i="32"/>
  <c r="X21" i="32"/>
  <c r="U17" i="32"/>
  <c r="U14" i="32"/>
  <c r="W12" i="32"/>
  <c r="V22" i="32"/>
  <c r="AF22" i="32" s="1"/>
  <c r="V18" i="32"/>
  <c r="X10" i="32"/>
  <c r="V12" i="32"/>
  <c r="U9" i="32"/>
  <c r="W17" i="32"/>
  <c r="W9" i="32"/>
  <c r="U19" i="32"/>
  <c r="V20" i="32"/>
  <c r="X11" i="32"/>
  <c r="I61" i="19"/>
  <c r="I62" i="19"/>
  <c r="I63" i="19"/>
  <c r="I64" i="19"/>
  <c r="I65" i="19"/>
  <c r="I66" i="19"/>
  <c r="G24" i="26"/>
  <c r="Y22" i="33" a="1"/>
  <c r="T50" i="33" a="1"/>
  <c r="T53" i="33" a="1"/>
  <c r="T61" i="33" a="1"/>
  <c r="W11" i="33" a="1"/>
  <c r="X11" i="33" a="1"/>
  <c r="Z10" i="33" a="1"/>
  <c r="T62" i="33" a="1"/>
  <c r="U17" i="33" a="1"/>
  <c r="T35" i="33" a="1"/>
  <c r="T31" i="33" a="1"/>
  <c r="T45" i="33" a="1"/>
  <c r="U13" i="33" a="1"/>
  <c r="V12" i="33" a="1"/>
  <c r="V15" i="33" a="1"/>
  <c r="T52" i="33" a="1"/>
  <c r="T59" i="33" a="1"/>
  <c r="T58" i="33" a="1"/>
  <c r="V20" i="33" a="1"/>
  <c r="U9" i="33" a="1"/>
  <c r="T32" i="33" a="1"/>
  <c r="U22" i="33" a="1"/>
  <c r="T36" i="33" a="1"/>
  <c r="T37" i="33" a="1"/>
  <c r="U19" i="33" a="1"/>
  <c r="U18" i="33" a="1"/>
  <c r="T47" i="33" a="1"/>
  <c r="T29" i="33" a="1"/>
  <c r="T30" i="33" a="1"/>
  <c r="V14" i="33" a="1"/>
  <c r="V17" i="33" a="1"/>
  <c r="T51" i="33" a="1"/>
  <c r="V18" i="33" a="1"/>
  <c r="W15" i="33" a="1"/>
  <c r="X21" i="33" a="1"/>
  <c r="T43" i="33" a="1"/>
  <c r="X20" i="33" a="1"/>
  <c r="X9" i="33" a="1"/>
  <c r="W17" i="33" a="1"/>
  <c r="Y21" i="33" a="1"/>
  <c r="T38" i="33" a="1"/>
  <c r="T57" i="33" a="1"/>
  <c r="T42" i="33" a="1"/>
  <c r="X22" i="33" a="1"/>
  <c r="U12" i="33" a="1"/>
  <c r="Y11" i="33" a="1"/>
  <c r="T46" i="33" a="1"/>
  <c r="T56" i="33" a="1"/>
  <c r="U11" i="33" a="1"/>
  <c r="V11" i="33" a="1"/>
  <c r="W10" i="33" a="1"/>
  <c r="T44" i="33" a="1"/>
  <c r="W18" i="33" a="1"/>
  <c r="Y10" i="33" a="1"/>
  <c r="U15" i="33" a="1"/>
  <c r="W14" i="33" a="1"/>
  <c r="T41" i="33" a="1"/>
  <c r="W16" i="33" a="1"/>
  <c r="W21" i="33" a="1"/>
  <c r="U16" i="33" a="1"/>
  <c r="W9" i="33" a="1"/>
  <c r="U20" i="33" a="1"/>
  <c r="Y20" i="33" a="1"/>
  <c r="T39" i="33" a="1"/>
  <c r="U21" i="33" a="1"/>
  <c r="T34" i="33" a="1"/>
  <c r="T68" i="33" a="1"/>
  <c r="Z9" i="33" a="1"/>
  <c r="V21" i="33" a="1"/>
  <c r="U10" i="33" a="1"/>
  <c r="W19" i="33" a="1"/>
  <c r="T69" i="33" a="1"/>
  <c r="U8" i="33" a="1"/>
  <c r="T40" i="33" a="1"/>
  <c r="T64" i="33" a="1"/>
  <c r="V13" i="33" a="1"/>
  <c r="T54" i="33" a="1"/>
  <c r="T33" i="33" a="1"/>
  <c r="V22" i="33" a="1"/>
  <c r="T66" i="33" a="1"/>
  <c r="Y9" i="33" a="1"/>
  <c r="X10" i="33" a="1"/>
  <c r="W20" i="33" a="1"/>
  <c r="V16" i="33" a="1"/>
  <c r="T65" i="33" a="1"/>
  <c r="W13" i="33" a="1"/>
  <c r="W22" i="33" a="1"/>
  <c r="U14" i="33" a="1"/>
  <c r="T55" i="33" a="1"/>
  <c r="T67" i="33" a="1"/>
  <c r="W12" i="33" a="1"/>
  <c r="V10" i="33" a="1"/>
  <c r="T63" i="33" a="1"/>
  <c r="Z11" i="33" a="1"/>
  <c r="T60" i="33" a="1"/>
  <c r="V9" i="33" a="1"/>
  <c r="Z22" i="33" a="1"/>
  <c r="V19" i="33" a="1"/>
  <c r="T39" i="33" l="1"/>
  <c r="T32" i="33"/>
  <c r="T53" i="33"/>
  <c r="T34" i="33"/>
  <c r="T56" i="33"/>
  <c r="T51" i="33"/>
  <c r="T62" i="33"/>
  <c r="T68" i="33"/>
  <c r="T31" i="33"/>
  <c r="T67" i="33"/>
  <c r="T42" i="33"/>
  <c r="T38" i="33"/>
  <c r="T41" i="33"/>
  <c r="T59" i="33"/>
  <c r="T30" i="33"/>
  <c r="T65" i="33"/>
  <c r="T36" i="33"/>
  <c r="T37" i="33"/>
  <c r="T45" i="33"/>
  <c r="T63" i="33"/>
  <c r="T50" i="33"/>
  <c r="T64" i="33"/>
  <c r="T61" i="33"/>
  <c r="T58" i="33"/>
  <c r="T33" i="33"/>
  <c r="T60" i="33"/>
  <c r="T44" i="33"/>
  <c r="T66" i="33"/>
  <c r="T29" i="33"/>
  <c r="T52" i="33"/>
  <c r="T69" i="33"/>
  <c r="T40" i="33"/>
  <c r="T43" i="33"/>
  <c r="T46" i="33"/>
  <c r="T35" i="33"/>
  <c r="T47" i="33"/>
  <c r="T55" i="33"/>
  <c r="T57" i="33"/>
  <c r="T54" i="33"/>
  <c r="A39" i="32"/>
  <c r="V39" i="32"/>
  <c r="AF39" i="32" s="1"/>
  <c r="U39" i="32"/>
  <c r="AE39" i="32" s="1"/>
  <c r="A32" i="32"/>
  <c r="V32" i="32"/>
  <c r="AF32" i="32" s="1"/>
  <c r="U32" i="32"/>
  <c r="AE32" i="32" s="1"/>
  <c r="A53" i="32"/>
  <c r="V53" i="32"/>
  <c r="AF53" i="32" s="1"/>
  <c r="U53" i="32"/>
  <c r="AE53" i="32" s="1"/>
  <c r="A34" i="32"/>
  <c r="U34" i="32"/>
  <c r="AE34" i="32" s="1"/>
  <c r="V34" i="32"/>
  <c r="AF34" i="32" s="1"/>
  <c r="A56" i="32"/>
  <c r="U56" i="32"/>
  <c r="AE56" i="32" s="1"/>
  <c r="V56" i="32"/>
  <c r="AF56" i="32" s="1"/>
  <c r="A51" i="32"/>
  <c r="V51" i="32"/>
  <c r="AF51" i="32" s="1"/>
  <c r="U51" i="32"/>
  <c r="AE51" i="32" s="1"/>
  <c r="A62" i="32"/>
  <c r="U62" i="32"/>
  <c r="AE62" i="32" s="1"/>
  <c r="V62" i="32"/>
  <c r="AF62" i="32" s="1"/>
  <c r="A68" i="32"/>
  <c r="V68" i="32"/>
  <c r="AF68" i="32" s="1"/>
  <c r="U68" i="32"/>
  <c r="AE68" i="32" s="1"/>
  <c r="A31" i="32"/>
  <c r="U31" i="32"/>
  <c r="AE31" i="32" s="1"/>
  <c r="V31" i="32"/>
  <c r="AF31" i="32" s="1"/>
  <c r="A67" i="32"/>
  <c r="V67" i="32"/>
  <c r="AF67" i="32" s="1"/>
  <c r="U67" i="32"/>
  <c r="AE67" i="32" s="1"/>
  <c r="A42" i="32"/>
  <c r="V42" i="32"/>
  <c r="AF42" i="32" s="1"/>
  <c r="U42" i="32"/>
  <c r="AE42" i="32" s="1"/>
  <c r="A38" i="32"/>
  <c r="V38" i="32"/>
  <c r="AF38" i="32" s="1"/>
  <c r="U38" i="32"/>
  <c r="AE38" i="32" s="1"/>
  <c r="A41" i="32"/>
  <c r="V41" i="32"/>
  <c r="AF41" i="32" s="1"/>
  <c r="U41" i="32"/>
  <c r="AE41" i="32" s="1"/>
  <c r="A59" i="32"/>
  <c r="V59" i="32"/>
  <c r="AF59" i="32" s="1"/>
  <c r="U59" i="32"/>
  <c r="AE59" i="32" s="1"/>
  <c r="A30" i="32"/>
  <c r="U30" i="32"/>
  <c r="AE30" i="32" s="1"/>
  <c r="V30" i="32"/>
  <c r="AF30" i="32" s="1"/>
  <c r="A65" i="32"/>
  <c r="V65" i="32"/>
  <c r="AF65" i="32" s="1"/>
  <c r="U65" i="32"/>
  <c r="AE65" i="32" s="1"/>
  <c r="A36" i="32"/>
  <c r="V36" i="32"/>
  <c r="AF36" i="32" s="1"/>
  <c r="U36" i="32"/>
  <c r="AE36" i="32" s="1"/>
  <c r="A37" i="32"/>
  <c r="U37" i="32"/>
  <c r="AE37" i="32" s="1"/>
  <c r="V37" i="32"/>
  <c r="AF37" i="32" s="1"/>
  <c r="A45" i="32"/>
  <c r="U45" i="32"/>
  <c r="AE45" i="32" s="1"/>
  <c r="V45" i="32"/>
  <c r="AF45" i="32" s="1"/>
  <c r="A63" i="32"/>
  <c r="U63" i="32"/>
  <c r="AE63" i="32" s="1"/>
  <c r="V63" i="32"/>
  <c r="AF63" i="32" s="1"/>
  <c r="A50" i="32"/>
  <c r="V50" i="32"/>
  <c r="AF50" i="32" s="1"/>
  <c r="U50" i="32"/>
  <c r="AE50" i="32" s="1"/>
  <c r="A64" i="32"/>
  <c r="V64" i="32"/>
  <c r="AF64" i="32" s="1"/>
  <c r="U64" i="32"/>
  <c r="AE64" i="32" s="1"/>
  <c r="A61" i="32"/>
  <c r="V61" i="32"/>
  <c r="AF61" i="32" s="1"/>
  <c r="U61" i="32"/>
  <c r="AE61" i="32" s="1"/>
  <c r="A58" i="32"/>
  <c r="V58" i="32"/>
  <c r="AF58" i="32" s="1"/>
  <c r="U58" i="32"/>
  <c r="AE58" i="32" s="1"/>
  <c r="A33" i="32"/>
  <c r="U33" i="32"/>
  <c r="AE33" i="32" s="1"/>
  <c r="V33" i="32"/>
  <c r="AF33" i="32" s="1"/>
  <c r="A60" i="32"/>
  <c r="U60" i="32"/>
  <c r="AE60" i="32" s="1"/>
  <c r="V60" i="32"/>
  <c r="AF60" i="32" s="1"/>
  <c r="A44" i="32"/>
  <c r="V44" i="32"/>
  <c r="AF44" i="32" s="1"/>
  <c r="U44" i="32"/>
  <c r="AE44" i="32" s="1"/>
  <c r="A66" i="32"/>
  <c r="V66" i="32"/>
  <c r="AF66" i="32" s="1"/>
  <c r="U66" i="32"/>
  <c r="AE66" i="32" s="1"/>
  <c r="A29" i="32"/>
  <c r="U29" i="32"/>
  <c r="AE29" i="32" s="1"/>
  <c r="V29" i="32"/>
  <c r="AF29" i="32" s="1"/>
  <c r="A52" i="32"/>
  <c r="V52" i="32"/>
  <c r="AF52" i="32" s="1"/>
  <c r="U52" i="32"/>
  <c r="AE52" i="32" s="1"/>
  <c r="A69" i="32"/>
  <c r="U69" i="32"/>
  <c r="AE69" i="32" s="1"/>
  <c r="V69" i="32"/>
  <c r="AF69" i="32" s="1"/>
  <c r="A40" i="32"/>
  <c r="U40" i="32"/>
  <c r="AE40" i="32" s="1"/>
  <c r="V40" i="32"/>
  <c r="AF40" i="32" s="1"/>
  <c r="A43" i="32"/>
  <c r="V43" i="32"/>
  <c r="AF43" i="32" s="1"/>
  <c r="U43" i="32"/>
  <c r="AE43" i="32" s="1"/>
  <c r="A46" i="32"/>
  <c r="U46" i="32"/>
  <c r="AE46" i="32" s="1"/>
  <c r="V46" i="32"/>
  <c r="AF46" i="32" s="1"/>
  <c r="A35" i="32"/>
  <c r="V35" i="32"/>
  <c r="AF35" i="32" s="1"/>
  <c r="U35" i="32"/>
  <c r="AE35" i="32" s="1"/>
  <c r="A47" i="32"/>
  <c r="U47" i="32"/>
  <c r="AE47" i="32" s="1"/>
  <c r="V47" i="32"/>
  <c r="AF47" i="32" s="1"/>
  <c r="A55" i="32"/>
  <c r="V55" i="32"/>
  <c r="AF55" i="32" s="1"/>
  <c r="U55" i="32"/>
  <c r="AE55" i="32" s="1"/>
  <c r="A57" i="32"/>
  <c r="V57" i="32"/>
  <c r="AF57" i="32" s="1"/>
  <c r="U57" i="32"/>
  <c r="AE57" i="32" s="1"/>
  <c r="A54" i="32"/>
  <c r="V54" i="32"/>
  <c r="AF54" i="32" s="1"/>
  <c r="U54" i="32"/>
  <c r="AE54" i="32" s="1"/>
  <c r="AH21" i="32"/>
  <c r="J21" i="32"/>
  <c r="AG20" i="32"/>
  <c r="I20" i="32"/>
  <c r="AG21" i="32"/>
  <c r="I21" i="32"/>
  <c r="AF20" i="32"/>
  <c r="H20" i="32"/>
  <c r="AF21" i="32"/>
  <c r="H21" i="32"/>
  <c r="AH20" i="32"/>
  <c r="J20" i="32"/>
  <c r="AE21" i="32"/>
  <c r="G21" i="32"/>
  <c r="AE20" i="32"/>
  <c r="G20" i="32"/>
  <c r="AF18" i="32"/>
  <c r="H18" i="32"/>
  <c r="AE15" i="32"/>
  <c r="G15" i="32"/>
  <c r="AF17" i="32"/>
  <c r="H17" i="32"/>
  <c r="AF15" i="32"/>
  <c r="H15" i="32"/>
  <c r="AE19" i="32"/>
  <c r="G19" i="32"/>
  <c r="AF14" i="32"/>
  <c r="H14" i="32"/>
  <c r="AG12" i="32"/>
  <c r="I12" i="32"/>
  <c r="AE18" i="32"/>
  <c r="G18" i="32"/>
  <c r="AE16" i="32"/>
  <c r="G16" i="32"/>
  <c r="AG17" i="32"/>
  <c r="I17" i="32"/>
  <c r="AE14" i="32"/>
  <c r="G14" i="32"/>
  <c r="AF13" i="32"/>
  <c r="H13" i="32"/>
  <c r="AF16" i="32"/>
  <c r="H16" i="32"/>
  <c r="AF12" i="32"/>
  <c r="H12" i="32"/>
  <c r="AG16" i="32"/>
  <c r="I16" i="32"/>
  <c r="AE12" i="32"/>
  <c r="G12" i="32"/>
  <c r="AG13" i="32"/>
  <c r="I13" i="32"/>
  <c r="AG19" i="32"/>
  <c r="I19" i="32"/>
  <c r="AE17" i="32"/>
  <c r="G17" i="32"/>
  <c r="AE13" i="32"/>
  <c r="G13" i="32"/>
  <c r="AG14" i="32"/>
  <c r="I14" i="32"/>
  <c r="AG18" i="32"/>
  <c r="I18" i="32"/>
  <c r="AG15" i="32"/>
  <c r="I15" i="32"/>
  <c r="AF19" i="32"/>
  <c r="H19" i="32"/>
  <c r="AJ10" i="32"/>
  <c r="L10" i="32"/>
  <c r="AF11" i="32"/>
  <c r="H11" i="32"/>
  <c r="AH11" i="32"/>
  <c r="J11" i="32"/>
  <c r="AE10" i="32"/>
  <c r="G10" i="32"/>
  <c r="AI11" i="32"/>
  <c r="K11" i="32"/>
  <c r="AJ11" i="32"/>
  <c r="L11" i="32"/>
  <c r="AI10" i="32"/>
  <c r="K10" i="32"/>
  <c r="AH10" i="32"/>
  <c r="J10" i="32"/>
  <c r="AG11" i="32"/>
  <c r="I11" i="32"/>
  <c r="AF10" i="32"/>
  <c r="H10" i="32"/>
  <c r="AE11" i="32"/>
  <c r="G11" i="32"/>
  <c r="AG10" i="32"/>
  <c r="I10" i="32"/>
  <c r="AI9" i="32"/>
  <c r="K9" i="32"/>
  <c r="AH9" i="32"/>
  <c r="J9" i="32"/>
  <c r="AJ9" i="32"/>
  <c r="L9" i="32"/>
  <c r="AG9" i="32"/>
  <c r="I9" i="32"/>
  <c r="AF9" i="32"/>
  <c r="H9" i="32"/>
  <c r="AE9" i="32"/>
  <c r="G9" i="32"/>
  <c r="AE8" i="32"/>
  <c r="U19" i="33"/>
  <c r="W19" i="33"/>
  <c r="U16" i="33"/>
  <c r="V11" i="33"/>
  <c r="W20" i="33"/>
  <c r="V14" i="33"/>
  <c r="V10" i="33"/>
  <c r="U18" i="33"/>
  <c r="V9" i="33"/>
  <c r="V20" i="33"/>
  <c r="V18" i="33"/>
  <c r="Z11" i="33"/>
  <c r="V19" i="33"/>
  <c r="U8" i="33"/>
  <c r="G8" i="33" s="1"/>
  <c r="V17" i="33"/>
  <c r="W16" i="33"/>
  <c r="V21" i="33"/>
  <c r="W9" i="33"/>
  <c r="V22" i="33"/>
  <c r="AF22" i="33" s="1"/>
  <c r="Y20" i="33"/>
  <c r="K20" i="33" s="1"/>
  <c r="U20" i="33"/>
  <c r="W17" i="33"/>
  <c r="W12" i="33"/>
  <c r="Z22" i="33"/>
  <c r="AJ22" i="33" s="1"/>
  <c r="W11" i="33"/>
  <c r="U11" i="33"/>
  <c r="Y21" i="33"/>
  <c r="K21" i="33" s="1"/>
  <c r="U15" i="33"/>
  <c r="U9" i="33"/>
  <c r="V15" i="33"/>
  <c r="Y10" i="33"/>
  <c r="Z10" i="33"/>
  <c r="W10" i="33"/>
  <c r="U14" i="33"/>
  <c r="W21" i="33"/>
  <c r="V13" i="33"/>
  <c r="V16" i="33"/>
  <c r="V12" i="33"/>
  <c r="Y22" i="33"/>
  <c r="AI22" i="33" s="1"/>
  <c r="X9" i="33"/>
  <c r="Z9" i="33"/>
  <c r="X20" i="33"/>
  <c r="U12" i="33"/>
  <c r="W13" i="33"/>
  <c r="X10" i="33"/>
  <c r="U17" i="33"/>
  <c r="X22" i="33"/>
  <c r="AH22" i="33" s="1"/>
  <c r="U21" i="33"/>
  <c r="U13" i="33"/>
  <c r="X11" i="33"/>
  <c r="U10" i="33"/>
  <c r="Y11" i="33"/>
  <c r="X21" i="33"/>
  <c r="Y9" i="33"/>
  <c r="U22" i="33"/>
  <c r="AE22" i="33" s="1"/>
  <c r="W14" i="33"/>
  <c r="W18" i="33"/>
  <c r="W22" i="33"/>
  <c r="AG22" i="33" s="1"/>
  <c r="W15" i="33"/>
  <c r="Y1" i="20"/>
  <c r="A42" i="33" l="1"/>
  <c r="U42" i="33"/>
  <c r="AE42" i="33" s="1"/>
  <c r="V42" i="33"/>
  <c r="AF42" i="33" s="1"/>
  <c r="A47" i="33"/>
  <c r="V47" i="33"/>
  <c r="AF47" i="33" s="1"/>
  <c r="U47" i="33"/>
  <c r="AE47" i="33" s="1"/>
  <c r="A58" i="33"/>
  <c r="U58" i="33"/>
  <c r="AE58" i="33" s="1"/>
  <c r="V58" i="33"/>
  <c r="AF58" i="33" s="1"/>
  <c r="A38" i="33"/>
  <c r="V38" i="33"/>
  <c r="AF38" i="33" s="1"/>
  <c r="U38" i="33"/>
  <c r="AE38" i="33" s="1"/>
  <c r="A61" i="33"/>
  <c r="V61" i="33"/>
  <c r="AF61" i="33" s="1"/>
  <c r="U61" i="33"/>
  <c r="AE61" i="33" s="1"/>
  <c r="A43" i="33"/>
  <c r="U43" i="33"/>
  <c r="AE43" i="33" s="1"/>
  <c r="V43" i="33"/>
  <c r="AF43" i="33" s="1"/>
  <c r="A50" i="33"/>
  <c r="V50" i="33"/>
  <c r="AF50" i="33" s="1"/>
  <c r="U50" i="33"/>
  <c r="AE50" i="33" s="1"/>
  <c r="A31" i="33"/>
  <c r="U31" i="33"/>
  <c r="AE31" i="33" s="1"/>
  <c r="V31" i="33"/>
  <c r="AF31" i="33" s="1"/>
  <c r="A40" i="33"/>
  <c r="U40" i="33"/>
  <c r="AE40" i="33" s="1"/>
  <c r="V40" i="33"/>
  <c r="AF40" i="33" s="1"/>
  <c r="A63" i="33"/>
  <c r="V63" i="33"/>
  <c r="AF63" i="33" s="1"/>
  <c r="U63" i="33"/>
  <c r="AE63" i="33" s="1"/>
  <c r="A68" i="33"/>
  <c r="U68" i="33"/>
  <c r="AE68" i="33" s="1"/>
  <c r="V68" i="33"/>
  <c r="AF68" i="33" s="1"/>
  <c r="A69" i="33"/>
  <c r="V69" i="33"/>
  <c r="AF69" i="33" s="1"/>
  <c r="U69" i="33"/>
  <c r="AE69" i="33" s="1"/>
  <c r="A45" i="33"/>
  <c r="U45" i="33"/>
  <c r="AE45" i="33" s="1"/>
  <c r="V45" i="33"/>
  <c r="AF45" i="33" s="1"/>
  <c r="A62" i="33"/>
  <c r="V62" i="33"/>
  <c r="AF62" i="33" s="1"/>
  <c r="U62" i="33"/>
  <c r="AE62" i="33" s="1"/>
  <c r="A52" i="33"/>
  <c r="U52" i="33"/>
  <c r="AE52" i="33" s="1"/>
  <c r="V52" i="33"/>
  <c r="AF52" i="33" s="1"/>
  <c r="A37" i="33"/>
  <c r="V37" i="33"/>
  <c r="AF37" i="33" s="1"/>
  <c r="U37" i="33"/>
  <c r="AE37" i="33" s="1"/>
  <c r="A51" i="33"/>
  <c r="V51" i="33"/>
  <c r="AF51" i="33" s="1"/>
  <c r="U51" i="33"/>
  <c r="AE51" i="33" s="1"/>
  <c r="A67" i="33"/>
  <c r="V67" i="33"/>
  <c r="AF67" i="33" s="1"/>
  <c r="U67" i="33"/>
  <c r="AE67" i="33" s="1"/>
  <c r="A29" i="33"/>
  <c r="V29" i="33"/>
  <c r="AF29" i="33" s="1"/>
  <c r="U29" i="33"/>
  <c r="AE29" i="33" s="1"/>
  <c r="A36" i="33"/>
  <c r="U36" i="33"/>
  <c r="AE36" i="33" s="1"/>
  <c r="V36" i="33"/>
  <c r="AF36" i="33" s="1"/>
  <c r="A56" i="33"/>
  <c r="V56" i="33"/>
  <c r="AF56" i="33" s="1"/>
  <c r="U56" i="33"/>
  <c r="AE56" i="33" s="1"/>
  <c r="A35" i="33"/>
  <c r="V35" i="33"/>
  <c r="AF35" i="33" s="1"/>
  <c r="U35" i="33"/>
  <c r="AE35" i="33" s="1"/>
  <c r="A66" i="33"/>
  <c r="V66" i="33"/>
  <c r="AF66" i="33" s="1"/>
  <c r="U66" i="33"/>
  <c r="AE66" i="33" s="1"/>
  <c r="A65" i="33"/>
  <c r="V65" i="33"/>
  <c r="AF65" i="33" s="1"/>
  <c r="U65" i="33"/>
  <c r="AE65" i="33" s="1"/>
  <c r="A34" i="33"/>
  <c r="U34" i="33"/>
  <c r="AE34" i="33" s="1"/>
  <c r="V34" i="33"/>
  <c r="AF34" i="33" s="1"/>
  <c r="A46" i="33"/>
  <c r="U46" i="33"/>
  <c r="AE46" i="33" s="1"/>
  <c r="V46" i="33"/>
  <c r="AF46" i="33" s="1"/>
  <c r="A54" i="33"/>
  <c r="V54" i="33"/>
  <c r="AF54" i="33" s="1"/>
  <c r="U54" i="33"/>
  <c r="AE54" i="33" s="1"/>
  <c r="A44" i="33"/>
  <c r="V44" i="33"/>
  <c r="AF44" i="33" s="1"/>
  <c r="U44" i="33"/>
  <c r="AE44" i="33" s="1"/>
  <c r="A30" i="33"/>
  <c r="V30" i="33"/>
  <c r="AF30" i="33" s="1"/>
  <c r="U30" i="33"/>
  <c r="AE30" i="33" s="1"/>
  <c r="A53" i="33"/>
  <c r="V53" i="33"/>
  <c r="AF53" i="33" s="1"/>
  <c r="U53" i="33"/>
  <c r="AE53" i="33" s="1"/>
  <c r="A57" i="33"/>
  <c r="V57" i="33"/>
  <c r="AF57" i="33" s="1"/>
  <c r="U57" i="33"/>
  <c r="AE57" i="33" s="1"/>
  <c r="A60" i="33"/>
  <c r="V60" i="33"/>
  <c r="AF60" i="33" s="1"/>
  <c r="U60" i="33"/>
  <c r="AE60" i="33" s="1"/>
  <c r="A59" i="33"/>
  <c r="V59" i="33"/>
  <c r="AF59" i="33" s="1"/>
  <c r="U59" i="33"/>
  <c r="AE59" i="33" s="1"/>
  <c r="A32" i="33"/>
  <c r="U32" i="33"/>
  <c r="AE32" i="33" s="1"/>
  <c r="V32" i="33"/>
  <c r="AF32" i="33" s="1"/>
  <c r="A64" i="33"/>
  <c r="V64" i="33"/>
  <c r="AF64" i="33" s="1"/>
  <c r="U64" i="33"/>
  <c r="AE64" i="33" s="1"/>
  <c r="A55" i="33"/>
  <c r="V55" i="33"/>
  <c r="AF55" i="33" s="1"/>
  <c r="U55" i="33"/>
  <c r="AE55" i="33" s="1"/>
  <c r="A33" i="33"/>
  <c r="U33" i="33"/>
  <c r="AE33" i="33" s="1"/>
  <c r="V33" i="33"/>
  <c r="AF33" i="33" s="1"/>
  <c r="A41" i="33"/>
  <c r="U41" i="33"/>
  <c r="AE41" i="33" s="1"/>
  <c r="V41" i="33"/>
  <c r="AF41" i="33" s="1"/>
  <c r="A39" i="33"/>
  <c r="U39" i="33"/>
  <c r="AE39" i="33" s="1"/>
  <c r="V39" i="33"/>
  <c r="AF39" i="33" s="1"/>
  <c r="AE21" i="33"/>
  <c r="G21" i="33"/>
  <c r="AH20" i="33"/>
  <c r="J20" i="33"/>
  <c r="AE20" i="33"/>
  <c r="G20" i="33"/>
  <c r="AF21" i="33"/>
  <c r="H21" i="33"/>
  <c r="AG20" i="33"/>
  <c r="I20" i="33"/>
  <c r="AF20" i="33"/>
  <c r="H20" i="33"/>
  <c r="AH21" i="33"/>
  <c r="J21" i="33"/>
  <c r="AG21" i="33"/>
  <c r="I21" i="33"/>
  <c r="AE17" i="33"/>
  <c r="G17" i="33"/>
  <c r="AG12" i="33"/>
  <c r="I12" i="33"/>
  <c r="AF16" i="33"/>
  <c r="H16" i="33"/>
  <c r="AE15" i="33"/>
  <c r="G15" i="33"/>
  <c r="AE13" i="33"/>
  <c r="G13" i="33"/>
  <c r="AE18" i="33"/>
  <c r="G18" i="33"/>
  <c r="AG15" i="33"/>
  <c r="I15" i="33"/>
  <c r="AF12" i="33"/>
  <c r="H12" i="33"/>
  <c r="AG19" i="33"/>
  <c r="I19" i="33"/>
  <c r="AF13" i="33"/>
  <c r="H13" i="33"/>
  <c r="AG17" i="33"/>
  <c r="I17" i="33"/>
  <c r="AE14" i="33"/>
  <c r="G14" i="33"/>
  <c r="AF19" i="33"/>
  <c r="H19" i="33"/>
  <c r="AF14" i="33"/>
  <c r="H14" i="33"/>
  <c r="AE12" i="33"/>
  <c r="G12" i="33"/>
  <c r="AF15" i="33"/>
  <c r="H15" i="33"/>
  <c r="AG16" i="33"/>
  <c r="I16" i="33"/>
  <c r="AE19" i="33"/>
  <c r="G19" i="33"/>
  <c r="AG13" i="33"/>
  <c r="I13" i="33"/>
  <c r="AE16" i="33"/>
  <c r="G16" i="33"/>
  <c r="AG18" i="33"/>
  <c r="I18" i="33"/>
  <c r="AG14" i="33"/>
  <c r="I14" i="33"/>
  <c r="AF17" i="33"/>
  <c r="H17" i="33"/>
  <c r="AF18" i="33"/>
  <c r="H18" i="33"/>
  <c r="AF11" i="33"/>
  <c r="H11" i="33"/>
  <c r="AH10" i="33"/>
  <c r="J10" i="33"/>
  <c r="AF10" i="33"/>
  <c r="H10" i="33"/>
  <c r="AI11" i="33"/>
  <c r="K11" i="33"/>
  <c r="AG10" i="33"/>
  <c r="I10" i="33"/>
  <c r="AJ10" i="33"/>
  <c r="L10" i="33"/>
  <c r="AI10" i="33"/>
  <c r="K10" i="33"/>
  <c r="AE11" i="33"/>
  <c r="G11" i="33"/>
  <c r="AE10" i="33"/>
  <c r="G10" i="33"/>
  <c r="AH11" i="33"/>
  <c r="J11" i="33"/>
  <c r="AG11" i="33"/>
  <c r="I11" i="33"/>
  <c r="AJ11" i="33"/>
  <c r="L11" i="33"/>
  <c r="AJ9" i="33"/>
  <c r="L9" i="33"/>
  <c r="AI9" i="33"/>
  <c r="K9" i="33"/>
  <c r="AG9" i="33"/>
  <c r="I9" i="33"/>
  <c r="AF9" i="33"/>
  <c r="H9" i="33"/>
  <c r="AH9" i="33"/>
  <c r="J9" i="33"/>
  <c r="AE9" i="33"/>
  <c r="G9" i="33"/>
  <c r="AE8" i="33"/>
  <c r="C13" i="24"/>
  <c r="I13" i="24" s="1"/>
  <c r="I12" i="24"/>
  <c r="I11" i="24"/>
  <c r="I10" i="24"/>
  <c r="I9" i="24"/>
  <c r="I8" i="24"/>
  <c r="A66" i="20" l="1"/>
  <c r="A63" i="20"/>
  <c r="A61" i="20"/>
  <c r="A65" i="20"/>
  <c r="A64" i="20"/>
  <c r="A62" i="20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G61" i="20" l="1"/>
  <c r="H61" i="20"/>
  <c r="G63" i="20"/>
  <c r="H63" i="20"/>
  <c r="H65" i="20"/>
  <c r="G65" i="20"/>
  <c r="H66" i="20"/>
  <c r="G66" i="20"/>
  <c r="H62" i="20"/>
  <c r="G62" i="20"/>
  <c r="H64" i="20"/>
  <c r="G64" i="20"/>
  <c r="A55" i="20"/>
  <c r="I55" i="19"/>
  <c r="I33" i="19" s="1"/>
  <c r="A56" i="20"/>
  <c r="I56" i="19"/>
  <c r="I34" i="19" s="1"/>
  <c r="A59" i="20"/>
  <c r="I59" i="19"/>
  <c r="I37" i="19" s="1"/>
  <c r="A53" i="20"/>
  <c r="I53" i="19"/>
  <c r="I31" i="19" s="1"/>
  <c r="A54" i="20"/>
  <c r="I54" i="19"/>
  <c r="I32" i="19" s="1"/>
  <c r="A57" i="20"/>
  <c r="I57" i="19"/>
  <c r="I35" i="19" s="1"/>
  <c r="A47" i="20"/>
  <c r="I47" i="19"/>
  <c r="I25" i="19" s="1"/>
  <c r="A60" i="20"/>
  <c r="I60" i="19"/>
  <c r="I38" i="19" s="1"/>
  <c r="A49" i="20"/>
  <c r="I49" i="19"/>
  <c r="I27" i="19" s="1"/>
  <c r="A50" i="20"/>
  <c r="I50" i="19"/>
  <c r="I28" i="19" s="1"/>
  <c r="A58" i="20"/>
  <c r="I58" i="19"/>
  <c r="I36" i="19" s="1"/>
  <c r="A48" i="20"/>
  <c r="I48" i="19"/>
  <c r="I26" i="19" s="1"/>
  <c r="A51" i="20"/>
  <c r="I51" i="19"/>
  <c r="I29" i="19" s="1"/>
  <c r="A52" i="20"/>
  <c r="I52" i="19"/>
  <c r="I30" i="19" s="1"/>
  <c r="A63" i="21"/>
  <c r="A62" i="21"/>
  <c r="A64" i="21"/>
  <c r="A65" i="21"/>
  <c r="A61" i="21"/>
  <c r="A66" i="21"/>
  <c r="B28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7" i="19"/>
  <c r="B26" i="19"/>
  <c r="B25" i="19"/>
  <c r="L17" i="19"/>
  <c r="K17" i="20" s="1"/>
  <c r="K17" i="21" s="1"/>
  <c r="U17" i="21" s="1"/>
  <c r="K17" i="19"/>
  <c r="J17" i="20" s="1"/>
  <c r="J17" i="21" s="1"/>
  <c r="T17" i="21" s="1"/>
  <c r="J17" i="19"/>
  <c r="I17" i="20" s="1"/>
  <c r="I17" i="21" s="1"/>
  <c r="S17" i="21" s="1"/>
  <c r="I17" i="19"/>
  <c r="H17" i="20" s="1"/>
  <c r="H17" i="21" s="1"/>
  <c r="R17" i="21" s="1"/>
  <c r="H17" i="19"/>
  <c r="G17" i="20" s="1"/>
  <c r="G17" i="21" s="1"/>
  <c r="Q17" i="21" s="1"/>
  <c r="L16" i="19"/>
  <c r="K16" i="20" s="1"/>
  <c r="K16" i="21" s="1"/>
  <c r="U16" i="21" s="1"/>
  <c r="K16" i="19"/>
  <c r="J16" i="20" s="1"/>
  <c r="J16" i="21" s="1"/>
  <c r="T16" i="21" s="1"/>
  <c r="J16" i="19"/>
  <c r="I16" i="20" s="1"/>
  <c r="I16" i="21" s="1"/>
  <c r="S16" i="21" s="1"/>
  <c r="I16" i="19"/>
  <c r="H16" i="20" s="1"/>
  <c r="H16" i="21" s="1"/>
  <c r="R16" i="21" s="1"/>
  <c r="H16" i="19"/>
  <c r="G16" i="20" s="1"/>
  <c r="G16" i="21" s="1"/>
  <c r="Q16" i="21" s="1"/>
  <c r="J15" i="19"/>
  <c r="I15" i="20" s="1"/>
  <c r="I15" i="21" s="1"/>
  <c r="S15" i="21" s="1"/>
  <c r="I15" i="19"/>
  <c r="H15" i="20" s="1"/>
  <c r="H15" i="21" s="1"/>
  <c r="R15" i="21" s="1"/>
  <c r="H15" i="19"/>
  <c r="G15" i="20" s="1"/>
  <c r="G15" i="21" s="1"/>
  <c r="Q15" i="21" s="1"/>
  <c r="J14" i="19"/>
  <c r="I14" i="20" s="1"/>
  <c r="I14" i="21" s="1"/>
  <c r="S14" i="21" s="1"/>
  <c r="I14" i="19"/>
  <c r="H14" i="20" s="1"/>
  <c r="H14" i="21" s="1"/>
  <c r="R14" i="21" s="1"/>
  <c r="H14" i="19"/>
  <c r="G14" i="20" s="1"/>
  <c r="G14" i="21" s="1"/>
  <c r="Q14" i="21" s="1"/>
  <c r="J13" i="19"/>
  <c r="I13" i="20" s="1"/>
  <c r="I13" i="21" s="1"/>
  <c r="S13" i="21" s="1"/>
  <c r="I13" i="19"/>
  <c r="H13" i="20" s="1"/>
  <c r="H13" i="21" s="1"/>
  <c r="R13" i="21" s="1"/>
  <c r="H13" i="19"/>
  <c r="G13" i="20" s="1"/>
  <c r="G13" i="21" s="1"/>
  <c r="Q13" i="21" s="1"/>
  <c r="J12" i="19"/>
  <c r="I12" i="20" s="1"/>
  <c r="I12" i="21" s="1"/>
  <c r="S12" i="21" s="1"/>
  <c r="I12" i="19"/>
  <c r="H12" i="20" s="1"/>
  <c r="H12" i="21" s="1"/>
  <c r="R12" i="21" s="1"/>
  <c r="H12" i="19"/>
  <c r="G12" i="20" s="1"/>
  <c r="G12" i="21" s="1"/>
  <c r="Q12" i="21" s="1"/>
  <c r="J11" i="19"/>
  <c r="I11" i="20" s="1"/>
  <c r="I11" i="21" s="1"/>
  <c r="S11" i="21" s="1"/>
  <c r="I11" i="19"/>
  <c r="H11" i="20" s="1"/>
  <c r="H11" i="21" s="1"/>
  <c r="R11" i="21" s="1"/>
  <c r="H11" i="19"/>
  <c r="G11" i="20" s="1"/>
  <c r="G11" i="21" s="1"/>
  <c r="Q11" i="21" s="1"/>
  <c r="J10" i="19"/>
  <c r="I10" i="20" s="1"/>
  <c r="I10" i="21" s="1"/>
  <c r="S10" i="21" s="1"/>
  <c r="I10" i="19"/>
  <c r="H10" i="20" s="1"/>
  <c r="H10" i="21" s="1"/>
  <c r="R10" i="21" s="1"/>
  <c r="H10" i="19"/>
  <c r="G10" i="20" s="1"/>
  <c r="G10" i="21" s="1"/>
  <c r="Q10" i="21" s="1"/>
  <c r="J9" i="19"/>
  <c r="I9" i="20" s="1"/>
  <c r="I9" i="21" s="1"/>
  <c r="S9" i="21" s="1"/>
  <c r="I9" i="19"/>
  <c r="H9" i="20" s="1"/>
  <c r="H9" i="21" s="1"/>
  <c r="R9" i="21" s="1"/>
  <c r="H9" i="19"/>
  <c r="G9" i="20" s="1"/>
  <c r="G9" i="21" s="1"/>
  <c r="Q9" i="21" s="1"/>
  <c r="J8" i="19"/>
  <c r="I8" i="20" s="1"/>
  <c r="I8" i="21" s="1"/>
  <c r="S8" i="21" s="1"/>
  <c r="I8" i="19"/>
  <c r="H8" i="20" s="1"/>
  <c r="H8" i="21" s="1"/>
  <c r="R8" i="21" s="1"/>
  <c r="H8" i="19"/>
  <c r="G8" i="20" s="1"/>
  <c r="G8" i="21" s="1"/>
  <c r="Q8" i="21" s="1"/>
  <c r="M7" i="19"/>
  <c r="L7" i="20" s="1"/>
  <c r="L7" i="21" s="1"/>
  <c r="V7" i="21" s="1"/>
  <c r="L7" i="19"/>
  <c r="K7" i="20" s="1"/>
  <c r="K7" i="21" s="1"/>
  <c r="U7" i="21" s="1"/>
  <c r="K7" i="19"/>
  <c r="J7" i="20" s="1"/>
  <c r="J7" i="21" s="1"/>
  <c r="T7" i="21" s="1"/>
  <c r="J7" i="19"/>
  <c r="I7" i="20" s="1"/>
  <c r="I7" i="21" s="1"/>
  <c r="S7" i="21" s="1"/>
  <c r="I7" i="19"/>
  <c r="H7" i="20" s="1"/>
  <c r="H7" i="21" s="1"/>
  <c r="R7" i="21" s="1"/>
  <c r="H7" i="19"/>
  <c r="G7" i="20" s="1"/>
  <c r="G7" i="21" s="1"/>
  <c r="Q7" i="21" s="1"/>
  <c r="M6" i="19"/>
  <c r="L6" i="20" s="1"/>
  <c r="L6" i="21" s="1"/>
  <c r="V6" i="21" s="1"/>
  <c r="L6" i="19"/>
  <c r="K6" i="20" s="1"/>
  <c r="K6" i="21" s="1"/>
  <c r="U6" i="21" s="1"/>
  <c r="K6" i="19"/>
  <c r="J6" i="20" s="1"/>
  <c r="J6" i="21" s="1"/>
  <c r="T6" i="21" s="1"/>
  <c r="J6" i="19"/>
  <c r="I6" i="20" s="1"/>
  <c r="I6" i="21" s="1"/>
  <c r="S6" i="21" s="1"/>
  <c r="I6" i="19"/>
  <c r="H6" i="20" s="1"/>
  <c r="H6" i="21" s="1"/>
  <c r="R6" i="21" s="1"/>
  <c r="H6" i="19"/>
  <c r="G6" i="20" s="1"/>
  <c r="G6" i="21" s="1"/>
  <c r="Q6" i="21" s="1"/>
  <c r="M5" i="19"/>
  <c r="L5" i="19"/>
  <c r="K5" i="19"/>
  <c r="J5" i="19"/>
  <c r="I5" i="19"/>
  <c r="H5" i="19"/>
  <c r="H4" i="19"/>
  <c r="G4" i="20" s="1"/>
  <c r="G4" i="21" s="1"/>
  <c r="Q4" i="21" s="1"/>
  <c r="W8" i="22"/>
  <c r="V8" i="22"/>
  <c r="G57" i="20" l="1"/>
  <c r="H57" i="20"/>
  <c r="G50" i="20"/>
  <c r="H50" i="20"/>
  <c r="H53" i="20"/>
  <c r="G53" i="20"/>
  <c r="G48" i="20"/>
  <c r="H48" i="20"/>
  <c r="G58" i="20"/>
  <c r="H58" i="20"/>
  <c r="H54" i="20"/>
  <c r="G54" i="20"/>
  <c r="A25" i="20"/>
  <c r="G49" i="20"/>
  <c r="H49" i="20"/>
  <c r="G59" i="20"/>
  <c r="H59" i="20"/>
  <c r="H52" i="20"/>
  <c r="G52" i="20"/>
  <c r="G60" i="20"/>
  <c r="H60" i="20"/>
  <c r="G56" i="20"/>
  <c r="H56" i="20"/>
  <c r="H51" i="20"/>
  <c r="G51" i="20"/>
  <c r="H47" i="20"/>
  <c r="G47" i="20"/>
  <c r="H55" i="20"/>
  <c r="G55" i="20"/>
  <c r="A65" i="22"/>
  <c r="G66" i="21"/>
  <c r="H66" i="21"/>
  <c r="A60" i="22"/>
  <c r="H61" i="21"/>
  <c r="G61" i="21"/>
  <c r="A64" i="22"/>
  <c r="G65" i="21"/>
  <c r="H65" i="21"/>
  <c r="A61" i="22"/>
  <c r="G62" i="21"/>
  <c r="H62" i="21"/>
  <c r="A63" i="22"/>
  <c r="G64" i="21"/>
  <c r="H64" i="21"/>
  <c r="A62" i="22"/>
  <c r="H63" i="21"/>
  <c r="G63" i="21"/>
  <c r="H39" i="19"/>
  <c r="A47" i="21"/>
  <c r="A55" i="21"/>
  <c r="A49" i="21"/>
  <c r="A52" i="21"/>
  <c r="A60" i="21"/>
  <c r="A59" i="21"/>
  <c r="A56" i="21"/>
  <c r="A54" i="21"/>
  <c r="A32" i="20"/>
  <c r="H32" i="19"/>
  <c r="H54" i="19" s="1"/>
  <c r="A28" i="20"/>
  <c r="H28" i="19"/>
  <c r="H50" i="19" s="1"/>
  <c r="A33" i="20"/>
  <c r="H33" i="19"/>
  <c r="H55" i="19" s="1"/>
  <c r="A48" i="21"/>
  <c r="A37" i="20"/>
  <c r="H37" i="19"/>
  <c r="H59" i="19" s="1"/>
  <c r="A51" i="21"/>
  <c r="A34" i="20"/>
  <c r="H34" i="19"/>
  <c r="H56" i="19" s="1"/>
  <c r="A35" i="20"/>
  <c r="H35" i="19"/>
  <c r="H57" i="19" s="1"/>
  <c r="H25" i="19"/>
  <c r="H47" i="19" s="1"/>
  <c r="A26" i="20"/>
  <c r="H26" i="19"/>
  <c r="H48" i="19" s="1"/>
  <c r="A50" i="21"/>
  <c r="A57" i="21"/>
  <c r="A36" i="20"/>
  <c r="H36" i="19"/>
  <c r="H58" i="19" s="1"/>
  <c r="A38" i="20"/>
  <c r="H38" i="19"/>
  <c r="H60" i="19" s="1"/>
  <c r="A27" i="20"/>
  <c r="H27" i="19"/>
  <c r="H49" i="19" s="1"/>
  <c r="A40" i="20"/>
  <c r="H40" i="19"/>
  <c r="A53" i="21"/>
  <c r="A29" i="20"/>
  <c r="H29" i="19"/>
  <c r="H51" i="19" s="1"/>
  <c r="A41" i="20"/>
  <c r="H41" i="19"/>
  <c r="A30" i="20"/>
  <c r="H30" i="19"/>
  <c r="H52" i="19" s="1"/>
  <c r="A42" i="20"/>
  <c r="H42" i="19"/>
  <c r="A58" i="21"/>
  <c r="A31" i="20"/>
  <c r="H31" i="19"/>
  <c r="H53" i="19" s="1"/>
  <c r="A43" i="20"/>
  <c r="H43" i="19"/>
  <c r="Z12" i="20"/>
  <c r="AC6" i="20"/>
  <c r="Z9" i="20"/>
  <c r="AC16" i="20"/>
  <c r="AE6" i="20"/>
  <c r="Z17" i="20"/>
  <c r="AA7" i="20"/>
  <c r="AA10" i="20"/>
  <c r="AA14" i="20"/>
  <c r="AB17" i="20"/>
  <c r="AA6" i="20"/>
  <c r="AA12" i="20"/>
  <c r="Z13" i="20"/>
  <c r="I9" i="22"/>
  <c r="AB9" i="20"/>
  <c r="Z10" i="20"/>
  <c r="AA17" i="20"/>
  <c r="AB7" i="20"/>
  <c r="AB14" i="20"/>
  <c r="AC7" i="20"/>
  <c r="Z11" i="20"/>
  <c r="Z15" i="20"/>
  <c r="AD17" i="20"/>
  <c r="AA8" i="20"/>
  <c r="AA16" i="20"/>
  <c r="AB8" i="20"/>
  <c r="AB16" i="20"/>
  <c r="AA9" i="20"/>
  <c r="Z7" i="20"/>
  <c r="Z14" i="20"/>
  <c r="AB10" i="20"/>
  <c r="AC17" i="20"/>
  <c r="AD7" i="20"/>
  <c r="AA11" i="20"/>
  <c r="AA15" i="20"/>
  <c r="Z6" i="20"/>
  <c r="Z8" i="20"/>
  <c r="Z16" i="20"/>
  <c r="AB6" i="20"/>
  <c r="AB12" i="20"/>
  <c r="AD6" i="20"/>
  <c r="AA13" i="20"/>
  <c r="AD16" i="20"/>
  <c r="Z4" i="20"/>
  <c r="AB13" i="20"/>
  <c r="AE7" i="20"/>
  <c r="AB11" i="20"/>
  <c r="AB15" i="20"/>
  <c r="J5" i="20"/>
  <c r="J5" i="21" s="1"/>
  <c r="T5" i="21" s="1"/>
  <c r="K5" i="20"/>
  <c r="K5" i="21" s="1"/>
  <c r="U5" i="21" s="1"/>
  <c r="G5" i="20"/>
  <c r="L5" i="20"/>
  <c r="L5" i="21" s="1"/>
  <c r="V5" i="21" s="1"/>
  <c r="H5" i="20"/>
  <c r="I5" i="20"/>
  <c r="I5" i="21" s="1"/>
  <c r="S5" i="21" s="1"/>
  <c r="A39" i="20"/>
  <c r="T17" i="20"/>
  <c r="S17" i="20"/>
  <c r="R17" i="20"/>
  <c r="Q17" i="20"/>
  <c r="P17" i="20"/>
  <c r="T16" i="20"/>
  <c r="S16" i="20"/>
  <c r="R16" i="20"/>
  <c r="Q16" i="20"/>
  <c r="P16" i="20"/>
  <c r="R15" i="20"/>
  <c r="Q15" i="20"/>
  <c r="P15" i="20"/>
  <c r="R14" i="20"/>
  <c r="Q14" i="20"/>
  <c r="P14" i="20"/>
  <c r="R13" i="20"/>
  <c r="Q13" i="20"/>
  <c r="P13" i="20"/>
  <c r="R12" i="20"/>
  <c r="Q12" i="20"/>
  <c r="P12" i="20"/>
  <c r="R11" i="20"/>
  <c r="Q11" i="20"/>
  <c r="P11" i="20"/>
  <c r="R10" i="20"/>
  <c r="Q10" i="20"/>
  <c r="P10" i="20"/>
  <c r="R9" i="20"/>
  <c r="Q9" i="20"/>
  <c r="P9" i="20"/>
  <c r="T8" i="20"/>
  <c r="S8" i="20"/>
  <c r="R8" i="20"/>
  <c r="Q8" i="20"/>
  <c r="P8" i="20"/>
  <c r="U7" i="20"/>
  <c r="T7" i="20"/>
  <c r="S7" i="20"/>
  <c r="R7" i="20"/>
  <c r="Q7" i="20"/>
  <c r="P7" i="20"/>
  <c r="U6" i="20"/>
  <c r="T6" i="20"/>
  <c r="S6" i="20"/>
  <c r="R6" i="20"/>
  <c r="Q6" i="20"/>
  <c r="P6" i="20"/>
  <c r="P4" i="20"/>
  <c r="A64" i="23" l="1"/>
  <c r="P64" i="22"/>
  <c r="Q64" i="22"/>
  <c r="Q5" i="20"/>
  <c r="H5" i="21"/>
  <c r="R5" i="21" s="1"/>
  <c r="A62" i="23"/>
  <c r="P62" i="22"/>
  <c r="Q62" i="22"/>
  <c r="A60" i="23"/>
  <c r="P60" i="22"/>
  <c r="Q60" i="22"/>
  <c r="P5" i="20"/>
  <c r="G5" i="21"/>
  <c r="Q5" i="21" s="1"/>
  <c r="A65" i="23"/>
  <c r="Q65" i="22"/>
  <c r="P65" i="22"/>
  <c r="A61" i="23"/>
  <c r="P61" i="22"/>
  <c r="Q61" i="22"/>
  <c r="A63" i="23"/>
  <c r="P63" i="22"/>
  <c r="Q63" i="22"/>
  <c r="H25" i="20"/>
  <c r="G25" i="20"/>
  <c r="I13" i="22"/>
  <c r="J6" i="22"/>
  <c r="A56" i="22"/>
  <c r="G57" i="21"/>
  <c r="H57" i="21"/>
  <c r="J17" i="22"/>
  <c r="G13" i="22"/>
  <c r="H7" i="22"/>
  <c r="G12" i="22"/>
  <c r="A49" i="22"/>
  <c r="G50" i="21"/>
  <c r="H50" i="21"/>
  <c r="A54" i="22"/>
  <c r="G55" i="21"/>
  <c r="H55" i="21"/>
  <c r="A46" i="22"/>
  <c r="H47" i="21"/>
  <c r="G47" i="21"/>
  <c r="I16" i="22"/>
  <c r="A51" i="22"/>
  <c r="H52" i="21"/>
  <c r="G52" i="21"/>
  <c r="A48" i="22"/>
  <c r="G49" i="21"/>
  <c r="H49" i="21"/>
  <c r="G16" i="22"/>
  <c r="K16" i="22"/>
  <c r="I14" i="22"/>
  <c r="A52" i="22"/>
  <c r="G53" i="21"/>
  <c r="H53" i="21"/>
  <c r="I10" i="22"/>
  <c r="H12" i="22"/>
  <c r="I6" i="22"/>
  <c r="H10" i="22"/>
  <c r="A47" i="22"/>
  <c r="G48" i="21"/>
  <c r="H48" i="21"/>
  <c r="G4" i="22"/>
  <c r="J7" i="22"/>
  <c r="V7" i="22" s="1"/>
  <c r="G8" i="22"/>
  <c r="H16" i="22"/>
  <c r="G17" i="22"/>
  <c r="I15" i="22"/>
  <c r="H13" i="22"/>
  <c r="G6" i="22"/>
  <c r="G14" i="22"/>
  <c r="H8" i="22"/>
  <c r="I7" i="22"/>
  <c r="H6" i="22"/>
  <c r="L6" i="22"/>
  <c r="I11" i="22"/>
  <c r="K6" i="22"/>
  <c r="H15" i="22"/>
  <c r="G7" i="22"/>
  <c r="K17" i="22"/>
  <c r="H17" i="22"/>
  <c r="I17" i="22"/>
  <c r="J16" i="22"/>
  <c r="A53" i="22"/>
  <c r="G54" i="21"/>
  <c r="H54" i="21"/>
  <c r="A55" i="22"/>
  <c r="G56" i="21"/>
  <c r="H56" i="21"/>
  <c r="L7" i="22"/>
  <c r="I12" i="22"/>
  <c r="H9" i="22"/>
  <c r="H14" i="22"/>
  <c r="A58" i="22"/>
  <c r="G59" i="21"/>
  <c r="H59" i="21"/>
  <c r="K7" i="22"/>
  <c r="A57" i="22"/>
  <c r="G58" i="21"/>
  <c r="H58" i="21"/>
  <c r="G15" i="22"/>
  <c r="G10" i="22"/>
  <c r="G9" i="22"/>
  <c r="A50" i="22"/>
  <c r="H51" i="21"/>
  <c r="G51" i="21"/>
  <c r="A59" i="22"/>
  <c r="G60" i="21"/>
  <c r="H60" i="21"/>
  <c r="G31" i="20"/>
  <c r="H31" i="20"/>
  <c r="H40" i="20"/>
  <c r="G40" i="20"/>
  <c r="G35" i="20"/>
  <c r="H35" i="20"/>
  <c r="G32" i="20"/>
  <c r="H32" i="20"/>
  <c r="H27" i="20"/>
  <c r="G27" i="20"/>
  <c r="H39" i="20"/>
  <c r="G39" i="20"/>
  <c r="G42" i="20"/>
  <c r="H42" i="20"/>
  <c r="G34" i="20"/>
  <c r="H34" i="20"/>
  <c r="H38" i="20"/>
  <c r="G38" i="20"/>
  <c r="H30" i="20"/>
  <c r="G30" i="20"/>
  <c r="G36" i="20"/>
  <c r="H36" i="20"/>
  <c r="H37" i="20"/>
  <c r="G37" i="20"/>
  <c r="G41" i="20"/>
  <c r="H41" i="20"/>
  <c r="H29" i="20"/>
  <c r="G29" i="20"/>
  <c r="G33" i="20"/>
  <c r="H33" i="20"/>
  <c r="G43" i="20"/>
  <c r="H43" i="20"/>
  <c r="H26" i="20"/>
  <c r="G26" i="20"/>
  <c r="H28" i="20"/>
  <c r="G28" i="20"/>
  <c r="A32" i="21"/>
  <c r="A27" i="21"/>
  <c r="A29" i="21"/>
  <c r="A28" i="21"/>
  <c r="A40" i="21"/>
  <c r="A34" i="21"/>
  <c r="A33" i="21"/>
  <c r="A37" i="21"/>
  <c r="A42" i="21"/>
  <c r="A41" i="21"/>
  <c r="A26" i="21"/>
  <c r="A35" i="21"/>
  <c r="A25" i="21"/>
  <c r="A38" i="21"/>
  <c r="A43" i="21"/>
  <c r="A36" i="21"/>
  <c r="A31" i="21"/>
  <c r="A30" i="21"/>
  <c r="A39" i="21"/>
  <c r="U9" i="22"/>
  <c r="AC5" i="20"/>
  <c r="S5" i="20"/>
  <c r="AE5" i="20"/>
  <c r="U5" i="20"/>
  <c r="AD5" i="20"/>
  <c r="Z5" i="20"/>
  <c r="T5" i="20"/>
  <c r="H11" i="22"/>
  <c r="AB5" i="20"/>
  <c r="AA5" i="20"/>
  <c r="G11" i="22"/>
  <c r="I8" i="22"/>
  <c r="R5" i="20"/>
  <c r="T17" i="18"/>
  <c r="S17" i="18"/>
  <c r="R17" i="18"/>
  <c r="Q17" i="18"/>
  <c r="P17" i="18"/>
  <c r="T16" i="18"/>
  <c r="S16" i="18"/>
  <c r="R16" i="18"/>
  <c r="Q16" i="18"/>
  <c r="P16" i="18"/>
  <c r="R15" i="18"/>
  <c r="Q15" i="18"/>
  <c r="P15" i="18"/>
  <c r="R14" i="18"/>
  <c r="Q14" i="18"/>
  <c r="P14" i="18"/>
  <c r="R13" i="18"/>
  <c r="Q13" i="18"/>
  <c r="P13" i="18"/>
  <c r="R12" i="18"/>
  <c r="Q12" i="18"/>
  <c r="P12" i="18"/>
  <c r="R11" i="18"/>
  <c r="Q11" i="18"/>
  <c r="P11" i="18"/>
  <c r="R10" i="18"/>
  <c r="Q10" i="18"/>
  <c r="P10" i="18"/>
  <c r="R9" i="18"/>
  <c r="Q9" i="18"/>
  <c r="P9" i="18"/>
  <c r="T8" i="18"/>
  <c r="S8" i="18"/>
  <c r="R8" i="18"/>
  <c r="Q8" i="18"/>
  <c r="P8" i="18"/>
  <c r="U7" i="18"/>
  <c r="T7" i="18"/>
  <c r="S7" i="18"/>
  <c r="R7" i="18"/>
  <c r="Q7" i="18"/>
  <c r="P7" i="18"/>
  <c r="U6" i="18"/>
  <c r="T6" i="18"/>
  <c r="S6" i="18"/>
  <c r="R6" i="18"/>
  <c r="Q6" i="18"/>
  <c r="P6" i="18"/>
  <c r="U5" i="18"/>
  <c r="T5" i="18"/>
  <c r="S5" i="18"/>
  <c r="R5" i="18"/>
  <c r="Q5" i="18"/>
  <c r="P5" i="18"/>
  <c r="P4" i="18"/>
  <c r="U60" i="23" l="1"/>
  <c r="T60" i="23"/>
  <c r="U63" i="23"/>
  <c r="T63" i="23"/>
  <c r="U62" i="23"/>
  <c r="T62" i="23"/>
  <c r="U61" i="23"/>
  <c r="T61" i="23"/>
  <c r="U65" i="23"/>
  <c r="T65" i="23"/>
  <c r="U64" i="23"/>
  <c r="T64" i="23"/>
  <c r="A50" i="23"/>
  <c r="P50" i="22"/>
  <c r="Q50" i="22"/>
  <c r="A55" i="23"/>
  <c r="P55" i="22"/>
  <c r="Q55" i="22"/>
  <c r="A58" i="23"/>
  <c r="Q58" i="22"/>
  <c r="P58" i="22"/>
  <c r="T15" i="22"/>
  <c r="A46" i="23"/>
  <c r="Q46" i="22"/>
  <c r="P46" i="22"/>
  <c r="A53" i="23"/>
  <c r="P53" i="22"/>
  <c r="Q53" i="22"/>
  <c r="S15" i="22"/>
  <c r="A54" i="23"/>
  <c r="P54" i="22"/>
  <c r="Q54" i="22"/>
  <c r="A48" i="23"/>
  <c r="P48" i="22"/>
  <c r="Q48" i="22"/>
  <c r="A56" i="23"/>
  <c r="P56" i="22"/>
  <c r="Q56" i="22"/>
  <c r="A57" i="23"/>
  <c r="P57" i="22"/>
  <c r="Q57" i="22"/>
  <c r="A49" i="23"/>
  <c r="P49" i="22"/>
  <c r="Q49" i="22"/>
  <c r="A59" i="23"/>
  <c r="P59" i="22"/>
  <c r="Q59" i="22"/>
  <c r="U15" i="22"/>
  <c r="A52" i="23"/>
  <c r="P52" i="22"/>
  <c r="Q52" i="22"/>
  <c r="A51" i="23"/>
  <c r="P51" i="22"/>
  <c r="Q51" i="22"/>
  <c r="A47" i="23"/>
  <c r="P47" i="22"/>
  <c r="Q47" i="22"/>
  <c r="U11" i="22"/>
  <c r="W6" i="22"/>
  <c r="T17" i="22"/>
  <c r="U14" i="22"/>
  <c r="S9" i="22"/>
  <c r="T10" i="22"/>
  <c r="S4" i="22"/>
  <c r="X6" i="22"/>
  <c r="U7" i="22"/>
  <c r="T7" i="22"/>
  <c r="T13" i="22"/>
  <c r="X7" i="22"/>
  <c r="S12" i="22"/>
  <c r="S17" i="22"/>
  <c r="S7" i="22"/>
  <c r="U16" i="22"/>
  <c r="S10" i="22"/>
  <c r="T16" i="22"/>
  <c r="T8" i="22"/>
  <c r="W16" i="22"/>
  <c r="U6" i="22"/>
  <c r="S14" i="22"/>
  <c r="V16" i="22"/>
  <c r="S16" i="22"/>
  <c r="T9" i="22"/>
  <c r="S8" i="22"/>
  <c r="U13" i="22"/>
  <c r="T12" i="22"/>
  <c r="U10" i="22"/>
  <c r="V17" i="22"/>
  <c r="T14" i="22"/>
  <c r="V6" i="22"/>
  <c r="S13" i="22"/>
  <c r="W7" i="22"/>
  <c r="U12" i="22"/>
  <c r="T6" i="22"/>
  <c r="S6" i="22"/>
  <c r="U17" i="22"/>
  <c r="I5" i="22"/>
  <c r="W17" i="22"/>
  <c r="A39" i="22"/>
  <c r="G39" i="21"/>
  <c r="H39" i="21"/>
  <c r="A42" i="22"/>
  <c r="G42" i="21"/>
  <c r="H42" i="21"/>
  <c r="A37" i="22"/>
  <c r="G37" i="21"/>
  <c r="H37" i="21"/>
  <c r="A30" i="22"/>
  <c r="G30" i="21"/>
  <c r="H30" i="21"/>
  <c r="A33" i="22"/>
  <c r="G33" i="21"/>
  <c r="H33" i="21"/>
  <c r="A41" i="22"/>
  <c r="G41" i="21"/>
  <c r="H41" i="21"/>
  <c r="A31" i="22"/>
  <c r="H31" i="21"/>
  <c r="G31" i="21"/>
  <c r="A34" i="22"/>
  <c r="G34" i="21"/>
  <c r="H34" i="21"/>
  <c r="A40" i="22"/>
  <c r="G40" i="21"/>
  <c r="H40" i="21"/>
  <c r="A43" i="22"/>
  <c r="H43" i="21"/>
  <c r="G43" i="21"/>
  <c r="A27" i="22"/>
  <c r="H27" i="21"/>
  <c r="G27" i="21"/>
  <c r="A28" i="22"/>
  <c r="G28" i="21"/>
  <c r="H28" i="21"/>
  <c r="A38" i="22"/>
  <c r="H38" i="21"/>
  <c r="G38" i="21"/>
  <c r="A29" i="22"/>
  <c r="G29" i="21"/>
  <c r="H29" i="21"/>
  <c r="A32" i="22"/>
  <c r="G32" i="21"/>
  <c r="H32" i="21"/>
  <c r="A36" i="22"/>
  <c r="G36" i="21"/>
  <c r="H36" i="21"/>
  <c r="A25" i="22"/>
  <c r="H25" i="21"/>
  <c r="G25" i="21"/>
  <c r="A35" i="22"/>
  <c r="G35" i="21"/>
  <c r="H35" i="21"/>
  <c r="A26" i="22"/>
  <c r="H26" i="21"/>
  <c r="G26" i="21"/>
  <c r="U8" i="22"/>
  <c r="L5" i="22"/>
  <c r="K5" i="22"/>
  <c r="S11" i="22"/>
  <c r="H5" i="22"/>
  <c r="J5" i="22"/>
  <c r="G5" i="22"/>
  <c r="T11" i="22"/>
  <c r="R14" i="17"/>
  <c r="Q14" i="17"/>
  <c r="P14" i="17"/>
  <c r="T16" i="17"/>
  <c r="S16" i="17"/>
  <c r="R16" i="17"/>
  <c r="Q16" i="17"/>
  <c r="P16" i="17"/>
  <c r="T17" i="17"/>
  <c r="S17" i="17"/>
  <c r="R17" i="17"/>
  <c r="Q17" i="17"/>
  <c r="P17" i="17"/>
  <c r="U59" i="23" l="1"/>
  <c r="T59" i="23"/>
  <c r="T48" i="23"/>
  <c r="U48" i="23"/>
  <c r="U47" i="23"/>
  <c r="T47" i="23"/>
  <c r="T51" i="23"/>
  <c r="U51" i="23"/>
  <c r="U58" i="23"/>
  <c r="T58" i="23"/>
  <c r="U49" i="23"/>
  <c r="T49" i="23"/>
  <c r="T57" i="23"/>
  <c r="U57" i="23"/>
  <c r="U52" i="23"/>
  <c r="T52" i="23"/>
  <c r="T55" i="23"/>
  <c r="U55" i="23"/>
  <c r="U53" i="23"/>
  <c r="T53" i="23"/>
  <c r="U56" i="23"/>
  <c r="T56" i="23"/>
  <c r="U50" i="23"/>
  <c r="T50" i="23"/>
  <c r="U54" i="23"/>
  <c r="T54" i="23"/>
  <c r="U46" i="23"/>
  <c r="T46" i="23"/>
  <c r="A30" i="23"/>
  <c r="Q30" i="22"/>
  <c r="P30" i="22"/>
  <c r="A41" i="23"/>
  <c r="Q41" i="22"/>
  <c r="P41" i="22"/>
  <c r="A36" i="23"/>
  <c r="Q36" i="22"/>
  <c r="P36" i="22"/>
  <c r="A43" i="23"/>
  <c r="P43" i="22"/>
  <c r="Q43" i="22"/>
  <c r="A35" i="23"/>
  <c r="Q35" i="22"/>
  <c r="P35" i="22"/>
  <c r="A42" i="23"/>
  <c r="P42" i="22"/>
  <c r="Q42" i="22"/>
  <c r="A25" i="23"/>
  <c r="Q25" i="22"/>
  <c r="P25" i="22"/>
  <c r="A38" i="23"/>
  <c r="P38" i="22"/>
  <c r="Q38" i="22"/>
  <c r="A40" i="23"/>
  <c r="P40" i="22"/>
  <c r="Q40" i="22"/>
  <c r="A33" i="23"/>
  <c r="P33" i="22"/>
  <c r="Q33" i="22"/>
  <c r="A39" i="23"/>
  <c r="P39" i="22"/>
  <c r="Q39" i="22"/>
  <c r="A29" i="23"/>
  <c r="P29" i="22"/>
  <c r="Q29" i="22"/>
  <c r="A34" i="23"/>
  <c r="P34" i="22"/>
  <c r="Q34" i="22"/>
  <c r="A26" i="23"/>
  <c r="P26" i="22"/>
  <c r="Q26" i="22"/>
  <c r="A32" i="23"/>
  <c r="P32" i="22"/>
  <c r="Q32" i="22"/>
  <c r="A27" i="23"/>
  <c r="P27" i="22"/>
  <c r="Q27" i="22"/>
  <c r="A31" i="23"/>
  <c r="P31" i="22"/>
  <c r="Q31" i="22"/>
  <c r="A37" i="23"/>
  <c r="P37" i="22"/>
  <c r="Q37" i="22"/>
  <c r="A28" i="23"/>
  <c r="P28" i="22"/>
  <c r="Q28" i="22"/>
  <c r="U5" i="22"/>
  <c r="X5" i="22"/>
  <c r="S5" i="22"/>
  <c r="V5" i="22"/>
  <c r="T5" i="22"/>
  <c r="W5" i="22"/>
  <c r="T16" i="16"/>
  <c r="S16" i="16"/>
  <c r="R16" i="16"/>
  <c r="Q16" i="16"/>
  <c r="P16" i="16"/>
  <c r="R17" i="16"/>
  <c r="Q17" i="16"/>
  <c r="P17" i="16"/>
  <c r="R15" i="17"/>
  <c r="Q15" i="17"/>
  <c r="P15" i="17"/>
  <c r="R13" i="17"/>
  <c r="Q13" i="17"/>
  <c r="P13" i="17"/>
  <c r="R12" i="17"/>
  <c r="Q12" i="17"/>
  <c r="P12" i="17"/>
  <c r="R11" i="17"/>
  <c r="Q11" i="17"/>
  <c r="P11" i="17"/>
  <c r="R10" i="17"/>
  <c r="Q10" i="17"/>
  <c r="P10" i="17"/>
  <c r="R9" i="17"/>
  <c r="Q9" i="17"/>
  <c r="P9" i="17"/>
  <c r="T8" i="17"/>
  <c r="S8" i="17"/>
  <c r="R8" i="17"/>
  <c r="Q8" i="17"/>
  <c r="P8" i="17"/>
  <c r="U7" i="17"/>
  <c r="T7" i="17"/>
  <c r="S7" i="17"/>
  <c r="R7" i="17"/>
  <c r="Q7" i="17"/>
  <c r="P7" i="17"/>
  <c r="U6" i="17"/>
  <c r="T6" i="17"/>
  <c r="S6" i="17"/>
  <c r="R6" i="17"/>
  <c r="Q6" i="17"/>
  <c r="P6" i="17"/>
  <c r="U5" i="17"/>
  <c r="T5" i="17"/>
  <c r="S5" i="17"/>
  <c r="R5" i="17"/>
  <c r="Q5" i="17"/>
  <c r="P5" i="17"/>
  <c r="P4" i="17"/>
  <c r="T36" i="23" l="1"/>
  <c r="U36" i="23"/>
  <c r="T37" i="23"/>
  <c r="U37" i="23"/>
  <c r="U26" i="23"/>
  <c r="T26" i="23"/>
  <c r="U33" i="23"/>
  <c r="T33" i="23"/>
  <c r="T42" i="23"/>
  <c r="U42" i="23"/>
  <c r="U41" i="23"/>
  <c r="T41" i="23"/>
  <c r="U39" i="23"/>
  <c r="T39" i="23"/>
  <c r="T25" i="23"/>
  <c r="U25" i="23"/>
  <c r="U28" i="23"/>
  <c r="T28" i="23"/>
  <c r="U34" i="23"/>
  <c r="T34" i="23"/>
  <c r="U30" i="23"/>
  <c r="T30" i="23"/>
  <c r="T40" i="23"/>
  <c r="U40" i="23"/>
  <c r="U27" i="23"/>
  <c r="T27" i="23"/>
  <c r="U29" i="23"/>
  <c r="T29" i="23"/>
  <c r="U38" i="23"/>
  <c r="T38" i="23"/>
  <c r="U43" i="23"/>
  <c r="T43" i="23"/>
  <c r="U32" i="23"/>
  <c r="T32" i="23"/>
  <c r="U31" i="23"/>
  <c r="T31" i="23"/>
  <c r="U35" i="23"/>
  <c r="T35" i="23"/>
  <c r="N47" i="16"/>
  <c r="M47" i="16"/>
  <c r="N46" i="16"/>
  <c r="M46" i="16"/>
  <c r="N45" i="16"/>
  <c r="M45" i="16"/>
  <c r="N44" i="16"/>
  <c r="M44" i="16"/>
  <c r="N43" i="16"/>
  <c r="M43" i="16"/>
  <c r="N42" i="16"/>
  <c r="M42" i="16"/>
  <c r="N41" i="16"/>
  <c r="M41" i="16"/>
  <c r="N40" i="16"/>
  <c r="M40" i="16"/>
  <c r="N39" i="16"/>
  <c r="M39" i="16"/>
  <c r="N38" i="16"/>
  <c r="M38" i="16"/>
  <c r="N37" i="16"/>
  <c r="M37" i="16"/>
  <c r="N36" i="16"/>
  <c r="M36" i="16"/>
  <c r="N35" i="16"/>
  <c r="M35" i="16"/>
  <c r="N34" i="16"/>
  <c r="M34" i="16"/>
  <c r="N33" i="16"/>
  <c r="M33" i="16"/>
  <c r="N32" i="16"/>
  <c r="M32" i="16"/>
  <c r="N31" i="16"/>
  <c r="M31" i="16"/>
  <c r="N30" i="16"/>
  <c r="M30" i="16"/>
  <c r="N29" i="16"/>
  <c r="M29" i="16"/>
  <c r="N47" i="15"/>
  <c r="M47" i="15"/>
  <c r="N46" i="15"/>
  <c r="M46" i="15"/>
  <c r="N45" i="15"/>
  <c r="M45" i="15"/>
  <c r="N44" i="15"/>
  <c r="M44" i="15"/>
  <c r="N43" i="15"/>
  <c r="M43" i="15"/>
  <c r="N42" i="15"/>
  <c r="M42" i="15"/>
  <c r="N41" i="15"/>
  <c r="M41" i="15"/>
  <c r="N40" i="15"/>
  <c r="M40" i="15"/>
  <c r="N39" i="15"/>
  <c r="M39" i="15"/>
  <c r="N38" i="15"/>
  <c r="M38" i="15"/>
  <c r="N37" i="15"/>
  <c r="M37" i="15"/>
  <c r="N36" i="15"/>
  <c r="M36" i="15"/>
  <c r="N35" i="15"/>
  <c r="M35" i="15"/>
  <c r="N34" i="15"/>
  <c r="M34" i="15"/>
  <c r="N33" i="15"/>
  <c r="M33" i="15"/>
  <c r="N32" i="15"/>
  <c r="M32" i="15"/>
  <c r="N31" i="15"/>
  <c r="M31" i="15"/>
  <c r="N30" i="15"/>
  <c r="M30" i="15"/>
  <c r="N29" i="15"/>
  <c r="M29" i="15"/>
  <c r="R14" i="16" l="1"/>
  <c r="Q14" i="16"/>
  <c r="P14" i="16"/>
  <c r="R13" i="16"/>
  <c r="Q13" i="16"/>
  <c r="P13" i="16"/>
  <c r="R11" i="16"/>
  <c r="Q11" i="16"/>
  <c r="P11" i="16"/>
  <c r="R10" i="16"/>
  <c r="Q10" i="16"/>
  <c r="P10" i="16"/>
  <c r="T8" i="16"/>
  <c r="S8" i="16"/>
  <c r="R8" i="16"/>
  <c r="Q8" i="16"/>
  <c r="P8" i="16"/>
  <c r="U7" i="16"/>
  <c r="T7" i="16"/>
  <c r="S7" i="16"/>
  <c r="R7" i="16"/>
  <c r="Q7" i="16"/>
  <c r="P7" i="16"/>
  <c r="U5" i="16"/>
  <c r="T5" i="16"/>
  <c r="S5" i="16"/>
  <c r="R5" i="16"/>
  <c r="Q5" i="16"/>
  <c r="P5" i="16"/>
  <c r="T15" i="16"/>
  <c r="S15" i="16"/>
  <c r="R15" i="16"/>
  <c r="Q15" i="16"/>
  <c r="P15" i="16"/>
  <c r="R12" i="16"/>
  <c r="Q12" i="16"/>
  <c r="P12" i="16"/>
  <c r="R9" i="16"/>
  <c r="Q9" i="16"/>
  <c r="P9" i="16"/>
  <c r="U6" i="16"/>
  <c r="T6" i="16"/>
  <c r="S6" i="16"/>
  <c r="R6" i="16"/>
  <c r="Q6" i="16"/>
  <c r="P6" i="16"/>
  <c r="P4" i="16"/>
  <c r="A52" i="9" l="1"/>
  <c r="A53" i="10" s="1"/>
  <c r="A53" i="12" s="1"/>
  <c r="A47" i="13" s="1"/>
  <c r="A51" i="9"/>
  <c r="A52" i="10" s="1"/>
  <c r="A52" i="12" s="1"/>
  <c r="A46" i="13" s="1"/>
  <c r="A50" i="9"/>
  <c r="A49" i="9"/>
  <c r="A50" i="10" s="1"/>
  <c r="A50" i="12" s="1"/>
  <c r="A44" i="13" s="1"/>
  <c r="A48" i="9"/>
  <c r="A47" i="9"/>
  <c r="A48" i="10" s="1"/>
  <c r="A48" i="12" s="1"/>
  <c r="A42" i="13" s="1"/>
  <c r="A46" i="9"/>
  <c r="A47" i="10" s="1"/>
  <c r="A47" i="12" s="1"/>
  <c r="A41" i="13" s="1"/>
  <c r="A45" i="9"/>
  <c r="A46" i="10" s="1"/>
  <c r="A46" i="12" s="1"/>
  <c r="A40" i="13" s="1"/>
  <c r="A44" i="9"/>
  <c r="A45" i="10" s="1"/>
  <c r="A45" i="12" s="1"/>
  <c r="A39" i="13" s="1"/>
  <c r="A43" i="9"/>
  <c r="A44" i="10" s="1"/>
  <c r="A44" i="12" s="1"/>
  <c r="A38" i="13" s="1"/>
  <c r="A42" i="9"/>
  <c r="A43" i="10" s="1"/>
  <c r="A43" i="12" s="1"/>
  <c r="A37" i="13" s="1"/>
  <c r="A41" i="9"/>
  <c r="A42" i="10" s="1"/>
  <c r="A42" i="12" s="1"/>
  <c r="A36" i="13" s="1"/>
  <c r="A40" i="9"/>
  <c r="A41" i="10" s="1"/>
  <c r="A41" i="12" s="1"/>
  <c r="A35" i="13" s="1"/>
  <c r="A39" i="9"/>
  <c r="A40" i="10" s="1"/>
  <c r="A40" i="12" s="1"/>
  <c r="A34" i="13" s="1"/>
  <c r="A38" i="9"/>
  <c r="A39" i="10" s="1"/>
  <c r="A39" i="12" s="1"/>
  <c r="A33" i="13" s="1"/>
  <c r="A37" i="9"/>
  <c r="A38" i="10" s="1"/>
  <c r="A38" i="12" s="1"/>
  <c r="A32" i="13" s="1"/>
  <c r="A36" i="9"/>
  <c r="A35" i="9"/>
  <c r="A36" i="10" s="1"/>
  <c r="A36" i="12" s="1"/>
  <c r="A30" i="13" s="1"/>
  <c r="A34" i="9"/>
  <c r="C23" i="9"/>
  <c r="C24" i="10" s="1"/>
  <c r="C24" i="12" s="1"/>
  <c r="B20" i="13" s="1"/>
  <c r="C22" i="9"/>
  <c r="C23" i="10" s="1"/>
  <c r="C23" i="12" s="1"/>
  <c r="B19" i="13" s="1"/>
  <c r="K19" i="9"/>
  <c r="K20" i="10" s="1"/>
  <c r="K20" i="12" s="1"/>
  <c r="J17" i="13" s="1"/>
  <c r="J19" i="9"/>
  <c r="J20" i="10" s="1"/>
  <c r="J20" i="12" s="1"/>
  <c r="I17" i="13" s="1"/>
  <c r="I19" i="9"/>
  <c r="H19" i="9"/>
  <c r="H20" i="10" s="1"/>
  <c r="H20" i="12" s="1"/>
  <c r="G17" i="13" s="1"/>
  <c r="G19" i="9"/>
  <c r="G20" i="10" s="1"/>
  <c r="G20" i="12" s="1"/>
  <c r="F17" i="13" s="1"/>
  <c r="K18" i="9"/>
  <c r="K19" i="10" s="1"/>
  <c r="K19" i="12" s="1"/>
  <c r="J16" i="13" s="1"/>
  <c r="J18" i="9"/>
  <c r="J19" i="10" s="1"/>
  <c r="J19" i="12" s="1"/>
  <c r="I16" i="13" s="1"/>
  <c r="I18" i="9"/>
  <c r="I19" i="10" s="1"/>
  <c r="I19" i="12" s="1"/>
  <c r="H16" i="13" s="1"/>
  <c r="H18" i="9"/>
  <c r="H19" i="10" s="1"/>
  <c r="H19" i="12" s="1"/>
  <c r="G16" i="13" s="1"/>
  <c r="G18" i="9"/>
  <c r="G19" i="10" s="1"/>
  <c r="G19" i="12" s="1"/>
  <c r="F16" i="13" s="1"/>
  <c r="K17" i="9"/>
  <c r="J17" i="9"/>
  <c r="I17" i="9"/>
  <c r="I18" i="10" s="1"/>
  <c r="I18" i="12" s="1"/>
  <c r="H15" i="13" s="1"/>
  <c r="H17" i="9"/>
  <c r="H18" i="10" s="1"/>
  <c r="H18" i="12" s="1"/>
  <c r="G15" i="13" s="1"/>
  <c r="G17" i="9"/>
  <c r="G18" i="10" s="1"/>
  <c r="G18" i="12" s="1"/>
  <c r="F15" i="13" s="1"/>
  <c r="K16" i="9"/>
  <c r="J16" i="9"/>
  <c r="I16" i="9"/>
  <c r="I17" i="10" s="1"/>
  <c r="I17" i="12" s="1"/>
  <c r="H14" i="13" s="1"/>
  <c r="H16" i="9"/>
  <c r="H17" i="10" s="1"/>
  <c r="H17" i="12" s="1"/>
  <c r="G14" i="13" s="1"/>
  <c r="G16" i="9"/>
  <c r="K15" i="9"/>
  <c r="J15" i="9"/>
  <c r="I15" i="9"/>
  <c r="I16" i="10" s="1"/>
  <c r="I16" i="12" s="1"/>
  <c r="H13" i="13" s="1"/>
  <c r="H15" i="9"/>
  <c r="H16" i="10" s="1"/>
  <c r="H16" i="12" s="1"/>
  <c r="G13" i="13" s="1"/>
  <c r="G15" i="9"/>
  <c r="G16" i="10" s="1"/>
  <c r="G16" i="12" s="1"/>
  <c r="F13" i="13" s="1"/>
  <c r="K14" i="9"/>
  <c r="J14" i="9"/>
  <c r="I14" i="9"/>
  <c r="I15" i="10" s="1"/>
  <c r="I15" i="12" s="1"/>
  <c r="H12" i="13" s="1"/>
  <c r="H14" i="9"/>
  <c r="H15" i="10" s="1"/>
  <c r="H15" i="12" s="1"/>
  <c r="G12" i="13" s="1"/>
  <c r="G14" i="9"/>
  <c r="G15" i="10" s="1"/>
  <c r="G15" i="12" s="1"/>
  <c r="F12" i="13" s="1"/>
  <c r="K13" i="9"/>
  <c r="J13" i="9"/>
  <c r="I13" i="9"/>
  <c r="I14" i="10" s="1"/>
  <c r="I14" i="12" s="1"/>
  <c r="H11" i="13" s="1"/>
  <c r="H13" i="9"/>
  <c r="G13" i="9"/>
  <c r="K12" i="9"/>
  <c r="J12" i="9"/>
  <c r="I12" i="9"/>
  <c r="I13" i="10" s="1"/>
  <c r="I13" i="12" s="1"/>
  <c r="H10" i="13" s="1"/>
  <c r="H12" i="9"/>
  <c r="H13" i="10" s="1"/>
  <c r="H13" i="12" s="1"/>
  <c r="G10" i="13" s="1"/>
  <c r="G12" i="9"/>
  <c r="G13" i="10" s="1"/>
  <c r="G13" i="12" s="1"/>
  <c r="F10" i="13" s="1"/>
  <c r="K11" i="9"/>
  <c r="J11" i="9"/>
  <c r="I11" i="9"/>
  <c r="I12" i="10" s="1"/>
  <c r="I12" i="12" s="1"/>
  <c r="H9" i="13" s="1"/>
  <c r="H11" i="9"/>
  <c r="G11" i="9"/>
  <c r="G12" i="10" s="1"/>
  <c r="G12" i="12" s="1"/>
  <c r="F9" i="13" s="1"/>
  <c r="K10" i="9"/>
  <c r="J10" i="9"/>
  <c r="I10" i="9"/>
  <c r="I11" i="10" s="1"/>
  <c r="I11" i="12" s="1"/>
  <c r="H8" i="13" s="1"/>
  <c r="H10" i="9"/>
  <c r="H11" i="10" s="1"/>
  <c r="H11" i="12" s="1"/>
  <c r="G8" i="13" s="1"/>
  <c r="G10" i="9"/>
  <c r="G11" i="10" s="1"/>
  <c r="G11" i="12" s="1"/>
  <c r="F8" i="13" s="1"/>
  <c r="K9" i="9"/>
  <c r="K10" i="10" s="1"/>
  <c r="K10" i="12" s="1"/>
  <c r="J7" i="13" s="1"/>
  <c r="J9" i="9"/>
  <c r="I9" i="9"/>
  <c r="I10" i="10" s="1"/>
  <c r="I10" i="12" s="1"/>
  <c r="H7" i="13" s="1"/>
  <c r="H9" i="9"/>
  <c r="H10" i="10" s="1"/>
  <c r="H10" i="12" s="1"/>
  <c r="G7" i="13" s="1"/>
  <c r="G9" i="9"/>
  <c r="G10" i="10" s="1"/>
  <c r="G10" i="12" s="1"/>
  <c r="F7" i="13" s="1"/>
  <c r="K8" i="9"/>
  <c r="K9" i="10" s="1"/>
  <c r="K9" i="12" s="1"/>
  <c r="J6" i="13" s="1"/>
  <c r="J8" i="9"/>
  <c r="J9" i="10" s="1"/>
  <c r="J9" i="12" s="1"/>
  <c r="I6" i="13" s="1"/>
  <c r="I8" i="9"/>
  <c r="I9" i="10" s="1"/>
  <c r="I9" i="12" s="1"/>
  <c r="H6" i="13" s="1"/>
  <c r="H8" i="9"/>
  <c r="H9" i="10" s="1"/>
  <c r="H9" i="12" s="1"/>
  <c r="G6" i="13" s="1"/>
  <c r="G8" i="9"/>
  <c r="G9" i="10" s="1"/>
  <c r="G9" i="12" s="1"/>
  <c r="F6" i="13" s="1"/>
  <c r="K7" i="9"/>
  <c r="K8" i="10" s="1"/>
  <c r="K8" i="12" s="1"/>
  <c r="J5" i="13" s="1"/>
  <c r="J7" i="9"/>
  <c r="J8" i="10" s="1"/>
  <c r="J8" i="12" s="1"/>
  <c r="I5" i="13" s="1"/>
  <c r="I7" i="9"/>
  <c r="I8" i="10" s="1"/>
  <c r="I8" i="12" s="1"/>
  <c r="H5" i="13" s="1"/>
  <c r="H7" i="9"/>
  <c r="H8" i="10" s="1"/>
  <c r="H8" i="12" s="1"/>
  <c r="G5" i="13" s="1"/>
  <c r="G7" i="9"/>
  <c r="G8" i="10" s="1"/>
  <c r="A51" i="10"/>
  <c r="A51" i="12" s="1"/>
  <c r="A45" i="13" s="1"/>
  <c r="A49" i="10"/>
  <c r="A49" i="12" s="1"/>
  <c r="A43" i="13" s="1"/>
  <c r="A37" i="10"/>
  <c r="A37" i="12" s="1"/>
  <c r="A31" i="13" s="1"/>
  <c r="A35" i="10"/>
  <c r="A35" i="12" s="1"/>
  <c r="A29" i="13" s="1"/>
  <c r="I20" i="10"/>
  <c r="I20" i="12" s="1"/>
  <c r="H17" i="13" s="1"/>
  <c r="G17" i="10"/>
  <c r="G17" i="12" s="1"/>
  <c r="F14" i="13" s="1"/>
  <c r="H14" i="10"/>
  <c r="H14" i="12" s="1"/>
  <c r="G11" i="13" s="1"/>
  <c r="G14" i="10"/>
  <c r="G14" i="12" s="1"/>
  <c r="F11" i="13" s="1"/>
  <c r="H12" i="10"/>
  <c r="H12" i="12" s="1"/>
  <c r="G9" i="13" s="1"/>
  <c r="J10" i="10"/>
  <c r="J10" i="12" s="1"/>
  <c r="I7" i="13" s="1"/>
  <c r="H6" i="7"/>
  <c r="H6" i="1" s="1"/>
  <c r="H6" i="2" s="1"/>
  <c r="I6" i="7"/>
  <c r="I6" i="1" s="1"/>
  <c r="I6" i="2" s="1"/>
  <c r="J6" i="7"/>
  <c r="J6" i="1" s="1"/>
  <c r="H6" i="6" s="1"/>
  <c r="H6" i="3" s="1"/>
  <c r="K6" i="7"/>
  <c r="K6" i="1" s="1"/>
  <c r="K6" i="2" s="1"/>
  <c r="L6" i="7"/>
  <c r="L6" i="1" s="1"/>
  <c r="M6" i="7"/>
  <c r="M6" i="1" s="1"/>
  <c r="M6" i="2" s="1"/>
  <c r="H7" i="7"/>
  <c r="H7" i="1" s="1"/>
  <c r="H7" i="2" s="1"/>
  <c r="I7" i="7"/>
  <c r="I7" i="1" s="1"/>
  <c r="J7" i="7"/>
  <c r="J7" i="1" s="1"/>
  <c r="K7" i="7"/>
  <c r="K7" i="1" s="1"/>
  <c r="I7" i="6" s="1"/>
  <c r="I7" i="3" s="1"/>
  <c r="L7" i="7"/>
  <c r="L7" i="1" s="1"/>
  <c r="M7" i="7"/>
  <c r="M7" i="1" s="1"/>
  <c r="H8" i="7"/>
  <c r="H8" i="1" s="1"/>
  <c r="H8" i="2" s="1"/>
  <c r="I8" i="7"/>
  <c r="I8" i="1" s="1"/>
  <c r="I8" i="2" s="1"/>
  <c r="J8" i="7"/>
  <c r="J8" i="1" s="1"/>
  <c r="K8" i="7"/>
  <c r="K8" i="1" s="1"/>
  <c r="L8" i="7"/>
  <c r="L8" i="1" s="1"/>
  <c r="L8" i="2" s="1"/>
  <c r="M8" i="7"/>
  <c r="M8" i="1" s="1"/>
  <c r="M8" i="2" s="1"/>
  <c r="H9" i="7"/>
  <c r="H9" i="1" s="1"/>
  <c r="I9" i="7"/>
  <c r="I9" i="1" s="1"/>
  <c r="J9" i="7"/>
  <c r="J9" i="1" s="1"/>
  <c r="J9" i="2" s="1"/>
  <c r="H10" i="7"/>
  <c r="H10" i="1" s="1"/>
  <c r="G10" i="6" s="1"/>
  <c r="G10" i="3" s="1"/>
  <c r="I10" i="7"/>
  <c r="I10" i="1" s="1"/>
  <c r="J10" i="7"/>
  <c r="J10" i="1" s="1"/>
  <c r="H11" i="7"/>
  <c r="H11" i="1" s="1"/>
  <c r="G11" i="6" s="1"/>
  <c r="G11" i="3" s="1"/>
  <c r="I11" i="7"/>
  <c r="I11" i="1" s="1"/>
  <c r="I11" i="2" s="1"/>
  <c r="J11" i="7"/>
  <c r="J11" i="1" s="1"/>
  <c r="H12" i="7"/>
  <c r="H12" i="1" s="1"/>
  <c r="I12" i="7"/>
  <c r="I12" i="1" s="1"/>
  <c r="H12" i="6" s="1"/>
  <c r="H12" i="3" s="1"/>
  <c r="J12" i="7"/>
  <c r="J12" i="1" s="1"/>
  <c r="J12" i="2" s="1"/>
  <c r="H13" i="7"/>
  <c r="H13" i="1" s="1"/>
  <c r="H13" i="2" s="1"/>
  <c r="I13" i="7"/>
  <c r="I13" i="1" s="1"/>
  <c r="J13" i="7"/>
  <c r="J13" i="1" s="1"/>
  <c r="H14" i="7"/>
  <c r="H14" i="1" s="1"/>
  <c r="H14" i="2" s="1"/>
  <c r="I14" i="7"/>
  <c r="I14" i="1" s="1"/>
  <c r="I14" i="2" s="1"/>
  <c r="J14" i="7"/>
  <c r="J14" i="1" s="1"/>
  <c r="H15" i="7"/>
  <c r="H15" i="1" s="1"/>
  <c r="G15" i="6" s="1"/>
  <c r="G15" i="3" s="1"/>
  <c r="I15" i="7"/>
  <c r="I15" i="1" s="1"/>
  <c r="I15" i="2" s="1"/>
  <c r="J15" i="7"/>
  <c r="J15" i="1" s="1"/>
  <c r="I15" i="6" s="1"/>
  <c r="I15" i="3" s="1"/>
  <c r="H16" i="7"/>
  <c r="H16" i="1" s="1"/>
  <c r="I16" i="7"/>
  <c r="I16" i="1" s="1"/>
  <c r="J16" i="7"/>
  <c r="J16" i="1" s="1"/>
  <c r="J16" i="2" s="1"/>
  <c r="H17" i="7"/>
  <c r="H17" i="1" s="1"/>
  <c r="H17" i="2" s="1"/>
  <c r="I17" i="7"/>
  <c r="I17" i="1" s="1"/>
  <c r="I17" i="2" s="1"/>
  <c r="J17" i="7"/>
  <c r="J17" i="1" s="1"/>
  <c r="H17" i="6" s="1"/>
  <c r="H17" i="3" s="1"/>
  <c r="K17" i="7"/>
  <c r="K17" i="1" s="1"/>
  <c r="L17" i="7"/>
  <c r="L17" i="1" s="1"/>
  <c r="M17" i="7"/>
  <c r="M17" i="1" s="1"/>
  <c r="K17" i="6" s="1"/>
  <c r="K17" i="3" s="1"/>
  <c r="H18" i="7"/>
  <c r="H18" i="1" s="1"/>
  <c r="H18" i="2" s="1"/>
  <c r="I18" i="7"/>
  <c r="I18" i="1" s="1"/>
  <c r="J18" i="7"/>
  <c r="J18" i="1" s="1"/>
  <c r="K18" i="7"/>
  <c r="K18" i="1" s="1"/>
  <c r="L18" i="7"/>
  <c r="L18" i="1" s="1"/>
  <c r="J18" i="6" s="1"/>
  <c r="J18" i="3" s="1"/>
  <c r="M18" i="7"/>
  <c r="M18" i="1" s="1"/>
  <c r="C21" i="7"/>
  <c r="C2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R5" i="1"/>
  <c r="C21" i="6"/>
  <c r="C2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33" i="2"/>
  <c r="A33" i="3"/>
  <c r="A51" i="2"/>
  <c r="A51" i="3" s="1"/>
  <c r="A50" i="2"/>
  <c r="A50" i="3" s="1"/>
  <c r="A49" i="2"/>
  <c r="A49" i="3" s="1"/>
  <c r="A48" i="2"/>
  <c r="A48" i="3" s="1"/>
  <c r="A47" i="2"/>
  <c r="A47" i="3" s="1"/>
  <c r="A46" i="2"/>
  <c r="A46" i="3" s="1"/>
  <c r="A45" i="2"/>
  <c r="A45" i="3" s="1"/>
  <c r="A44" i="2"/>
  <c r="A44" i="3" s="1"/>
  <c r="A43" i="2"/>
  <c r="A43" i="3" s="1"/>
  <c r="A42" i="2"/>
  <c r="A42" i="3" s="1"/>
  <c r="A41" i="2"/>
  <c r="A41" i="3" s="1"/>
  <c r="A40" i="2"/>
  <c r="A40" i="3" s="1"/>
  <c r="A39" i="2"/>
  <c r="A39" i="3"/>
  <c r="A38" i="2"/>
  <c r="A38" i="3" s="1"/>
  <c r="A37" i="2"/>
  <c r="A37" i="3" s="1"/>
  <c r="A36" i="2"/>
  <c r="A36" i="3" s="1"/>
  <c r="A35" i="2"/>
  <c r="A35" i="3" s="1"/>
  <c r="A34" i="2"/>
  <c r="A34" i="3" s="1"/>
  <c r="C22" i="2"/>
  <c r="C22" i="3" s="1"/>
  <c r="C21" i="2"/>
  <c r="C21" i="3"/>
  <c r="I18" i="6" l="1"/>
  <c r="I18" i="3" s="1"/>
  <c r="K18" i="2"/>
  <c r="G9" i="6"/>
  <c r="G9" i="3" s="1"/>
  <c r="H9" i="2"/>
  <c r="J13" i="2"/>
  <c r="I13" i="6"/>
  <c r="I13" i="3" s="1"/>
  <c r="H10" i="6"/>
  <c r="H10" i="3" s="1"/>
  <c r="I10" i="2"/>
  <c r="G18" i="6"/>
  <c r="G18" i="3" s="1"/>
  <c r="I18" i="2"/>
  <c r="M17" i="2"/>
  <c r="H16" i="6"/>
  <c r="H16" i="3" s="1"/>
  <c r="I16" i="2"/>
  <c r="K18" i="6"/>
  <c r="K18" i="3" s="1"/>
  <c r="M18" i="2"/>
  <c r="I11" i="6"/>
  <c r="I11" i="3" s="1"/>
  <c r="J11" i="2"/>
  <c r="G8" i="12"/>
  <c r="G7" i="10"/>
  <c r="J7" i="2"/>
  <c r="H7" i="6"/>
  <c r="H7" i="3" s="1"/>
  <c r="J8" i="2"/>
  <c r="H8" i="6"/>
  <c r="H8" i="3" s="1"/>
  <c r="G13" i="6"/>
  <c r="G13" i="3" s="1"/>
  <c r="H14" i="6"/>
  <c r="H14" i="3" s="1"/>
  <c r="H10" i="2"/>
  <c r="G14" i="6"/>
  <c r="G14" i="3" s="1"/>
  <c r="G17" i="6"/>
  <c r="G17" i="3" s="1"/>
  <c r="G6" i="6"/>
  <c r="G6" i="3" s="1"/>
  <c r="J15" i="2"/>
  <c r="J8" i="6"/>
  <c r="J8" i="3" s="1"/>
  <c r="I9" i="6"/>
  <c r="I9" i="3" s="1"/>
  <c r="H11" i="2"/>
  <c r="K8" i="2"/>
  <c r="I8" i="6"/>
  <c r="I8" i="3" s="1"/>
  <c r="K7" i="6"/>
  <c r="K7" i="3" s="1"/>
  <c r="M7" i="2"/>
  <c r="H16" i="2"/>
  <c r="G16" i="6"/>
  <c r="G16" i="3" s="1"/>
  <c r="G7" i="6"/>
  <c r="G7" i="3" s="1"/>
  <c r="I7" i="2"/>
  <c r="H9" i="6"/>
  <c r="H9" i="3" s="1"/>
  <c r="I9" i="2"/>
  <c r="J7" i="6"/>
  <c r="J7" i="3" s="1"/>
  <c r="L7" i="2"/>
  <c r="H13" i="6"/>
  <c r="H13" i="3" s="1"/>
  <c r="I13" i="2"/>
  <c r="J14" i="2"/>
  <c r="I14" i="6"/>
  <c r="I14" i="3" s="1"/>
  <c r="J18" i="2"/>
  <c r="H18" i="6"/>
  <c r="H18" i="3" s="1"/>
  <c r="L17" i="2"/>
  <c r="J17" i="6"/>
  <c r="J17" i="3" s="1"/>
  <c r="J10" i="2"/>
  <c r="I10" i="6"/>
  <c r="I10" i="3" s="1"/>
  <c r="I17" i="6"/>
  <c r="I17" i="3" s="1"/>
  <c r="K17" i="2"/>
  <c r="H12" i="2"/>
  <c r="G12" i="6"/>
  <c r="G12" i="3" s="1"/>
  <c r="L6" i="2"/>
  <c r="J6" i="6"/>
  <c r="J6" i="3" s="1"/>
  <c r="H11" i="6"/>
  <c r="H11" i="3" s="1"/>
  <c r="J17" i="2"/>
  <c r="I6" i="6"/>
  <c r="I6" i="3" s="1"/>
  <c r="G8" i="6"/>
  <c r="G8" i="3" s="1"/>
  <c r="J6" i="2"/>
  <c r="H15" i="2"/>
  <c r="K6" i="6"/>
  <c r="K6" i="3" s="1"/>
  <c r="H15" i="6"/>
  <c r="H15" i="3" s="1"/>
  <c r="L18" i="2"/>
  <c r="K8" i="6"/>
  <c r="K8" i="3" s="1"/>
  <c r="I12" i="2"/>
  <c r="K7" i="2"/>
  <c r="I12" i="6"/>
  <c r="I12" i="3" s="1"/>
  <c r="I16" i="6"/>
  <c r="I16" i="3" s="1"/>
  <c r="F5" i="13" l="1"/>
  <c r="F4" i="13" s="1"/>
  <c r="G7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3% ATB (including longevity and selection premium), all ranks.
Regular step movement permitted.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9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2015: 2.25% increase to wages, selection premiums and longevity. 
Regular step movement permitted. 
</t>
        </r>
      </text>
    </comment>
    <comment ref="D16" authorId="1" shapeId="0" xr:uid="{00000000-0006-0000-09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A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2016: 2.75% increase to steps on FMO and Fire Captain schedules, selection premiums and longevity. 
Firefighter schedule adjusted as follows: 2.75% to top step (step 5) which is relabeled "step 6". Lower steps set at a rate that is 5% less than the next higher step. All firefighters' are moved up one step as top step is now step 6.
Regular step movement permitted. 
</t>
        </r>
      </text>
    </comment>
    <comment ref="D16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2017: 3.0% increase to steps on FMO and Fire Captain schedules, selection premiums and longevity. 
Firefighter schedule adjusted as follows: 3.0% to top step (step 6)and adjust lower steps to increments 4% less than the next higher step. 
Regular step movement permitted. 
</t>
        </r>
      </text>
    </comment>
    <comment ref="D16" authorId="1" shapeId="0" xr:uid="{00000000-0006-0000-0B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C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2018: 2.0% increase to steps for all job classes, selection premiums and longevity. 
Regular step movement permitted. 
</t>
        </r>
      </text>
    </comment>
    <comment ref="D16" authorId="1" shapeId="0" xr:uid="{00000000-0006-0000-0C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D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July 1, 2018: 0.75% increase to steps for all job classes, selection premiums and longevity. 
Regular step movement permitted. 
</t>
        </r>
      </text>
    </comment>
    <comment ref="D16" authorId="1" shapeId="0" xr:uid="{00000000-0006-0000-0D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  <comment ref="O16" authorId="1" shapeId="0" xr:uid="{00000000-0006-0000-0D00-000003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A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No change from 2018.</t>
        </r>
      </text>
    </comment>
    <comment ref="D16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  <author xml:space="preserve">Miller, Brenda </author>
  </authors>
  <commentList>
    <comment ref="E16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  <comment ref="I39" authorId="1" shapeId="0" xr:uid="{D2508D0D-A4EA-4415-BAD9-184E0AC273F0}">
      <text>
        <r>
          <rPr>
            <sz val="9"/>
            <color indexed="81"/>
            <rFont val="Tahoma"/>
            <family val="2"/>
          </rPr>
          <t>keyed incorrectly into spreadsheet - was $3.672 but should be $3.762.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No change from September 2007 wage schedule except that the $37 biweekly uniform allowance is rolled into base wage.
Regular step movement permitted. Note this contract begins January 1, 2008 to December 31, 2010. . </t>
        </r>
      </text>
    </comment>
    <comment ref="R5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Annual clothing allowance of $924 rolled in to base wages.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0" authorId="0" shapeId="0" xr:uid="{78EC5614-5C7C-4892-8F61-CC051AE3D3E4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0" authorId="0" shapeId="0" xr:uid="{ED9E81C6-2135-4328-9DEE-21461C03F4DE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0" authorId="0" shapeId="0" xr:uid="{B2A21EE9-5BF7-4905-991B-0617356F3AAD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0" authorId="0" shapeId="0" xr:uid="{511F18DA-C846-4E83-B1BE-4B7368A864BA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3% ATB including selection premium and longevity.
Regular step movement permitted. Note this contract begins January 1, 2008 to December 31, 2010.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All that happens here is that the lowest wage step (step 2) goes away for all schedules with 6 steps. (04450C, 04451C). We are also takind this oopportunity eliminate the not applicable step 1 of schedules that currently does not have any wages associated with them. this is a carry over from a previous contract contraction.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3% ATB including selection premium and longevity.
Regular step movement permitted. Note this contract begins January 1, 2008 to December 31, 2010. 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January 1, 2011: No change to wages, premiums or longevity. Regular step movement permitted. Note this contract begins January 1, 2011 to December 31, 2012.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Effctive January 1, 2012: No change to wages, premiums or longevity. Regular step movement permitted. Note this contract begins January 1, 2012 to December 31, 2014
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7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Effctive January 1, 2013: 2% increase to wages, premiums and longevity. Regular step movement permitted. Note this contract begins January 1, 2013 to December 31, 2014.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Effctive January 1, 2014: 2% increase to wages, premiums and longevity. After increasing all Longevity rates by 2%, the Longevity schedule begins one year earlier, in year 7 instead of year 8.  Year 25 is the last year of longevity increase.
 Regular step movement permitted. 
Note this contract begins January 1, 2013 and runs through December 31, 2014.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<sst xmlns="http://schemas.openxmlformats.org/spreadsheetml/2006/main" count="3891" uniqueCount="310">
  <si>
    <t>International Association of Fire Fighter, Local 82 (CFF)</t>
  </si>
  <si>
    <t>FLSA</t>
  </si>
  <si>
    <t>OTC</t>
  </si>
  <si>
    <t>CODE</t>
  </si>
  <si>
    <t>CLASSIFICATION</t>
  </si>
  <si>
    <t>Points</t>
  </si>
  <si>
    <t>P</t>
  </si>
  <si>
    <t>Step 1</t>
  </si>
  <si>
    <t>Step 2</t>
  </si>
  <si>
    <t>Step 3</t>
  </si>
  <si>
    <t>Step 4</t>
  </si>
  <si>
    <t>Step 5</t>
  </si>
  <si>
    <t>Step 6</t>
  </si>
  <si>
    <t>Step 7</t>
  </si>
  <si>
    <t>N</t>
  </si>
  <si>
    <t>04450C</t>
  </si>
  <si>
    <t>Fire Fighter</t>
  </si>
  <si>
    <t>B</t>
  </si>
  <si>
    <t>None</t>
  </si>
  <si>
    <t>04451C</t>
  </si>
  <si>
    <t>Fire Fighter (40 hrs.)</t>
  </si>
  <si>
    <t>04388C</t>
  </si>
  <si>
    <t>Fire Inspector 1</t>
  </si>
  <si>
    <t>04420C</t>
  </si>
  <si>
    <t>Fire Motor Operator</t>
  </si>
  <si>
    <t xml:space="preserve">04412C </t>
  </si>
  <si>
    <t>Fire Motor Operator (40 hrs.)</t>
  </si>
  <si>
    <t>04389C</t>
  </si>
  <si>
    <t>Fire Inspector 2</t>
  </si>
  <si>
    <t>04370C</t>
  </si>
  <si>
    <t>Fire Captain</t>
  </si>
  <si>
    <t>04371C</t>
  </si>
  <si>
    <t>Fire Captain (40 hrs.)</t>
  </si>
  <si>
    <t>04400C</t>
  </si>
  <si>
    <t>Fire Investigator</t>
  </si>
  <si>
    <t>04401C</t>
  </si>
  <si>
    <t>Fire Investigator (40 hrs.)</t>
  </si>
  <si>
    <t>04390C</t>
  </si>
  <si>
    <t>Fire Inspector 3</t>
  </si>
  <si>
    <t>04435C</t>
  </si>
  <si>
    <t>Fire Staff Captain (Asst Training Officer; Engineering Officer)</t>
  </si>
  <si>
    <t>04436C</t>
  </si>
  <si>
    <t>Fire Staff Captain (40 hrs.)</t>
  </si>
  <si>
    <t>Regular Step Progression Permitted</t>
  </si>
  <si>
    <r>
      <t xml:space="preserve">A </t>
    </r>
    <r>
      <rPr>
        <b/>
        <sz val="8.5"/>
        <rFont val="MS Sans Serif"/>
        <family val="2"/>
      </rPr>
      <t xml:space="preserve">selection premium </t>
    </r>
    <r>
      <rPr>
        <sz val="8.5"/>
        <rFont val="MS Sans Serif"/>
        <family val="2"/>
      </rPr>
      <t xml:space="preserve">of shall be added  for all hours worked to the top step of Firefighter as follows. </t>
    </r>
  </si>
  <si>
    <t xml:space="preserve">cents per hour beginning of the 26th year of service. </t>
  </si>
  <si>
    <t>cents per hour beginning of the 21st year through the 25th year of service.</t>
  </si>
  <si>
    <t>These additional payments are contingent upon the retention of the ninety-five ($.95) cent per hour Police shift differential.</t>
  </si>
  <si>
    <t>If that Police shift differential  is diminished or eliminated, the Firefighter selection premiums shall be correspondingly reduced.</t>
  </si>
  <si>
    <r>
      <t>Career Ladder Promotion Plan- Fire Inspectors:</t>
    </r>
    <r>
      <rPr>
        <sz val="8.5"/>
        <rFont val="MS Sans Serif"/>
        <family val="2"/>
      </rPr>
      <t xml:space="preserve"> This plan, which is in conformance with the national Fire Protection </t>
    </r>
  </si>
  <si>
    <t xml:space="preserve">Association . Standard 1031 and the time-in-grade requirements of the Minneapolis Civil Service Commission for Fire Motor </t>
  </si>
  <si>
    <t xml:space="preserve">Operator and Captain, provides the pay progression provisions applicable to Fire Inspectors. These assignments shall not be </t>
  </si>
  <si>
    <t>regarded as permanent job classifications or titles.</t>
  </si>
  <si>
    <t>Longevity:</t>
  </si>
  <si>
    <t>bi-weekly additional at the beginning of the 8th year of service</t>
  </si>
  <si>
    <t>bi-weekly additional at the beginning of the 9th year of service.</t>
  </si>
  <si>
    <t>bi-weekly additional at the beginning of the 10th year of service.</t>
  </si>
  <si>
    <t>bi-weekly additional at the beginning of the 11th year of service.</t>
  </si>
  <si>
    <t>bi-weekly additional at the beginning of the 12th year of service.</t>
  </si>
  <si>
    <t>bi-weekly additional at the beginning of the 13th year of service.</t>
  </si>
  <si>
    <t>bi-weekly additional at the beginning of the 14th year of service.</t>
  </si>
  <si>
    <t>bi-weekly additional at the beginning of the 15th year of service.</t>
  </si>
  <si>
    <t>bi-weekly additional at the beginning of the 16th year of service.</t>
  </si>
  <si>
    <t>bi-weekly additional at the beginning of the 17th year of service.</t>
  </si>
  <si>
    <t>bi-weekly additional at the beginning of the 18th year of service.</t>
  </si>
  <si>
    <t>bi-weekly additional at the beginning of the 19th year of service.</t>
  </si>
  <si>
    <t>bi-weekly additional at the beginning of the 20th year of service.</t>
  </si>
  <si>
    <t>bi-weekly additional at the beginning of the 21st year of service.</t>
  </si>
  <si>
    <t>bi-weekly additional at the beginning of the 22nd year of service.</t>
  </si>
  <si>
    <t>bi-weekly additional at the beginning of the 23rd year of service.</t>
  </si>
  <si>
    <t>bi-weekly additional at the beginning of the 24th year of service.</t>
  </si>
  <si>
    <t>bi-weekly additional at the beginning of the 25th year of service.</t>
  </si>
  <si>
    <t>bi-weekly additional at the beginning of the 26th year of service and beyond.</t>
  </si>
  <si>
    <t>Effective January 1, 2008</t>
  </si>
  <si>
    <t>Effective October 26, 2008</t>
  </si>
  <si>
    <t>Effective December 31, 2008</t>
  </si>
  <si>
    <t>Effective September 9, 2007</t>
  </si>
  <si>
    <t xml:space="preserve">04421C </t>
  </si>
  <si>
    <t>Effective at the beginning of the payroll period that includes January 1, 2010</t>
  </si>
  <si>
    <t>Effective at the beginning of the payroll period that includes January 1, 2011</t>
  </si>
  <si>
    <t>Step movement is allowed</t>
  </si>
  <si>
    <t>Effective at the beginning of the payroll period that includes January 1, 2012</t>
  </si>
  <si>
    <t>Effective on January 1, 2013</t>
  </si>
  <si>
    <t>Effective on January 1, 2014</t>
  </si>
  <si>
    <t>Fire Cadet</t>
  </si>
  <si>
    <t>bi-weekly additional at the beginning of the 8th year of service at or above FIREFIGHTER classification</t>
  </si>
  <si>
    <t>bi-weekly additional at the beginning of the 9th year of service at or above FIREFIGHTER classification.</t>
  </si>
  <si>
    <t>bi-weekly additional at the beginning of the 10th year of service at or above FIREFIGHTER classification..</t>
  </si>
  <si>
    <t>bi-weekly additional at the beginning of the 11th year of service at or above FIREFIGHTER classification..</t>
  </si>
  <si>
    <t>bi-weekly additional at the beginning of the 12th year of service at or above FIREFIGHTER classification..</t>
  </si>
  <si>
    <t>bi-weekly additional at the beginning of the 13th year of service at or above FIREFIGHTER classification..</t>
  </si>
  <si>
    <t>bi-weekly additional at the beginning of the 14th year of service at or above FIREFIGHTER classification..</t>
  </si>
  <si>
    <t>bi-weekly additional at the beginning of the 15th year of service at or above FIREFIGHTER classification..</t>
  </si>
  <si>
    <t>bi-weekly additional at the beginning of the 16th year of service at or above FIREFIGHTER classification..</t>
  </si>
  <si>
    <t>bi-weekly additional at the beginning of the 17th year of service at or above FIREFIGHTER classification..</t>
  </si>
  <si>
    <t>bi-weekly additional at the beginning of the 18th year of service at or above FIREFIGHTER classification..</t>
  </si>
  <si>
    <t>bi-weekly additional at the beginning of the 19th year of service at or above FIREFIGHTER classification..</t>
  </si>
  <si>
    <t>bi-weekly additional at the beginning of the 20th year of service at or above FIREFIGHTER classification..</t>
  </si>
  <si>
    <t>bi-weekly additional at the beginning of the 21st year of service at or above FIREFIGHTER classification..</t>
  </si>
  <si>
    <t>bi-weekly additional at the beginning of the 22nd year of service at or above FIREFIGHTER classification..</t>
  </si>
  <si>
    <t>bi-weekly additional at the beginning of the 23rd year of service at or above FIREFIGHTER classification..</t>
  </si>
  <si>
    <t>bi-weekly additional at the beginning of the 24th year of service at or above FIREFIGHTER classification..</t>
  </si>
  <si>
    <t>bi-weekly additional at the beginning of the 25th year of service at or above FIREFIGHTER classification..</t>
  </si>
  <si>
    <t>bi-weekly additional at the beginning of the 26th year of service and beyond at or above FIREFIGHTER classification..</t>
  </si>
  <si>
    <t>bi-weekly additional at the beginning of the 7th year of service at or above FIREFIGHTER classification</t>
  </si>
  <si>
    <t>Effective on January 1, 2015</t>
  </si>
  <si>
    <r>
      <t xml:space="preserve">A </t>
    </r>
    <r>
      <rPr>
        <b/>
        <sz val="11"/>
        <rFont val="Calibri"/>
        <family val="2"/>
        <scheme val="minor"/>
      </rPr>
      <t xml:space="preserve">selection premium </t>
    </r>
    <r>
      <rPr>
        <sz val="11"/>
        <rFont val="Calibri"/>
        <family val="2"/>
        <scheme val="minor"/>
      </rPr>
      <t xml:space="preserve">of shall be added  for all hours worked to the top step of Firefighter as follows. </t>
    </r>
  </si>
  <si>
    <r>
      <t>Career Ladder Promotion Plan- Fire Inspectors:</t>
    </r>
    <r>
      <rPr>
        <sz val="11"/>
        <rFont val="Calibri"/>
        <family val="2"/>
        <scheme val="minor"/>
      </rPr>
      <t xml:space="preserve"> This plan, which is in conformance with the national Fire Protection </t>
    </r>
  </si>
  <si>
    <t>Effective on January 1, 2017</t>
  </si>
  <si>
    <t>Effective on January 1, 2016</t>
  </si>
  <si>
    <t>Effective on July 1, 2018</t>
  </si>
  <si>
    <t xml:space="preserve">      These additional payments are contingent upon the retention of the ninety-five ($.95) cent per hour Police shift differential.</t>
  </si>
  <si>
    <t xml:space="preserve">      If that Police shift differential  is diminished or eliminated, the Firefighter selection premiums shall be correspondingly reduced.</t>
  </si>
  <si>
    <t xml:space="preserve">Fire Staff Captain </t>
  </si>
  <si>
    <t>FLSA OTC</t>
  </si>
  <si>
    <t>N3</t>
  </si>
  <si>
    <r>
      <t xml:space="preserve"> 7th year of service at or above the </t>
    </r>
    <r>
      <rPr>
        <i/>
        <u val="singleAccounting"/>
        <sz val="11"/>
        <rFont val="Calibri"/>
        <family val="2"/>
        <scheme val="minor"/>
      </rPr>
      <t>Firefighter</t>
    </r>
    <r>
      <rPr>
        <u val="singleAccounting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classification</t>
    </r>
  </si>
  <si>
    <t xml:space="preserve"> 8th year of service at or above the Firefighter classification</t>
  </si>
  <si>
    <t>9th year of service at or above  the Firefighter classification</t>
  </si>
  <si>
    <t>10th year of service at or above  the Firefighter classification</t>
  </si>
  <si>
    <t>11th year of service at or above the Firefighter classification</t>
  </si>
  <si>
    <t>12th year of service at or above  the Firefighter classification</t>
  </si>
  <si>
    <t>13th year of service at or above  the Firefighter classification</t>
  </si>
  <si>
    <t>14th year of service at or above the Firefighter classification</t>
  </si>
  <si>
    <t>15th year of service at or above  the Firefighter classification</t>
  </si>
  <si>
    <t>16th year of service at or above the Firefighter classification</t>
  </si>
  <si>
    <t>17th year of service at or above  the Firefighter classification</t>
  </si>
  <si>
    <t>18th year of service at or above  the Firefighter classification</t>
  </si>
  <si>
    <t>19th year of service at or above  the Firefighter classification</t>
  </si>
  <si>
    <t>20th year of service at or above  the Firefighter classification</t>
  </si>
  <si>
    <t>21st year of service at or above  the Firefighter classification</t>
  </si>
  <si>
    <t>22nd year of service at or above the Firefighter classification</t>
  </si>
  <si>
    <t>23rd year of service at or above  the Firefighter classification</t>
  </si>
  <si>
    <t>24th year of service at or above the Firefighter classification</t>
  </si>
  <si>
    <t>25th year of service at or above  the Firefighter classification</t>
  </si>
  <si>
    <t xml:space="preserve"> 7th year of service at or above the Firefighter classification</t>
  </si>
  <si>
    <t xml:space="preserve">Longevity </t>
  </si>
  <si>
    <t>Job Code</t>
  </si>
  <si>
    <t>Salary Grade</t>
  </si>
  <si>
    <t xml:space="preserve">The following biweekly additional compensation shall be paid at the beginning of the: </t>
  </si>
  <si>
    <t>International Association of Fire Fighters, Local 82 (CFF)</t>
  </si>
  <si>
    <r>
      <t xml:space="preserve">A </t>
    </r>
    <r>
      <rPr>
        <b/>
        <sz val="11"/>
        <rFont val="Calibri"/>
        <family val="2"/>
        <scheme val="minor"/>
      </rPr>
      <t xml:space="preserve">selection premium </t>
    </r>
    <r>
      <rPr>
        <sz val="11"/>
        <rFont val="Calibri"/>
        <family val="2"/>
        <scheme val="minor"/>
      </rPr>
      <t xml:space="preserve">shall be added  for all hours worked to the top step of Firefighter as follows. </t>
    </r>
  </si>
  <si>
    <t>Effective on January 1, 2018</t>
  </si>
  <si>
    <t xml:space="preserve">   Divide by 80</t>
  </si>
  <si>
    <t>Divide by 109.2</t>
  </si>
  <si>
    <t>CFG</t>
  </si>
  <si>
    <t xml:space="preserve">CFF </t>
  </si>
  <si>
    <t>CFF</t>
  </si>
  <si>
    <t>CFF 1</t>
  </si>
  <si>
    <t>CFG 1</t>
  </si>
  <si>
    <t>CFF 2</t>
  </si>
  <si>
    <t>CFG 2</t>
  </si>
  <si>
    <t>CFF 3</t>
  </si>
  <si>
    <t>CFG 3</t>
  </si>
  <si>
    <t>CFF 4</t>
  </si>
  <si>
    <t>CFG 4</t>
  </si>
  <si>
    <t>CFG 5</t>
  </si>
  <si>
    <t>04440C</t>
  </si>
  <si>
    <t>Dolly123</t>
  </si>
  <si>
    <t>Effective on January 1, 2019</t>
  </si>
  <si>
    <t xml:space="preserve">For all job classifications above Fire Fighter, the following biweekly additional compensation shall be paid at the beginning of the: </t>
  </si>
  <si>
    <t xml:space="preserve"> 7th year of service</t>
  </si>
  <si>
    <t xml:space="preserve"> 8th year of service</t>
  </si>
  <si>
    <t xml:space="preserve"> 9th year of service</t>
  </si>
  <si>
    <t xml:space="preserve"> 10th year of service</t>
  </si>
  <si>
    <t xml:space="preserve"> 11th year of service</t>
  </si>
  <si>
    <t xml:space="preserve"> 12th year of service</t>
  </si>
  <si>
    <t xml:space="preserve"> 13th year of service</t>
  </si>
  <si>
    <t xml:space="preserve"> 14th year of service</t>
  </si>
  <si>
    <t xml:space="preserve"> 15th year of service</t>
  </si>
  <si>
    <t xml:space="preserve"> 16th year of service</t>
  </si>
  <si>
    <t xml:space="preserve"> 17th year of service</t>
  </si>
  <si>
    <t xml:space="preserve"> 18th year of service</t>
  </si>
  <si>
    <t xml:space="preserve"> 19th year of service</t>
  </si>
  <si>
    <t xml:space="preserve"> 20th year of service</t>
  </si>
  <si>
    <t xml:space="preserve"> 21st year of service</t>
  </si>
  <si>
    <t xml:space="preserve"> 22nd year of service</t>
  </si>
  <si>
    <t xml:space="preserve"> 23rd year of service</t>
  </si>
  <si>
    <t xml:space="preserve"> 24th year of service</t>
  </si>
  <si>
    <t xml:space="preserve"> 25th year of service</t>
  </si>
  <si>
    <t>26th year of service</t>
  </si>
  <si>
    <t xml:space="preserve">For the job classification of Fire Fighter only, the following biweekly additional compensation shall be paid at the beginning of the: </t>
  </si>
  <si>
    <t>Effective on January 1, 2020</t>
  </si>
  <si>
    <t>Effective on April 1, 2019</t>
  </si>
  <si>
    <t>Effective on July 1, 2020</t>
  </si>
  <si>
    <t>Effective on January 1, 2021</t>
  </si>
  <si>
    <t>Effective on July 1, 2021</t>
  </si>
  <si>
    <t xml:space="preserve"> </t>
  </si>
  <si>
    <t>For all job classifications excluding Fire Fighter and Fire Cadet, the following biweekly additional compensation shall be paid at the beginning of the:</t>
  </si>
  <si>
    <t>Original Rate</t>
  </si>
  <si>
    <t>Year</t>
  </si>
  <si>
    <t>2.5% increase</t>
  </si>
  <si>
    <t xml:space="preserve"> 26th year of service</t>
  </si>
  <si>
    <t>Selection Premium totals for the bi-week period</t>
  </si>
  <si>
    <t>(C23+I23)*J23=new Longevity with selection added</t>
  </si>
  <si>
    <t>04421C</t>
  </si>
  <si>
    <t>Brenda Miller</t>
  </si>
  <si>
    <t>Completed audit of rates against PeopleSoft rates</t>
  </si>
  <si>
    <t>Hrly Rates</t>
  </si>
  <si>
    <t>4/1/2019: 2.5% increase, including longevity; 21st year of service - add 0.401 per hour; 26th year of service - add 0.918 per hour</t>
  </si>
  <si>
    <t>1/1/2020: 1.5% increase, including longevity</t>
  </si>
  <si>
    <t>7/1/20: 1.75% increase, including longevity</t>
  </si>
  <si>
    <t>1/1/21: 1.50% increase, including longevity</t>
  </si>
  <si>
    <t>7/1/21: 1.75% increase, including longevity</t>
  </si>
  <si>
    <t>CFH</t>
  </si>
  <si>
    <t>Job Record</t>
  </si>
  <si>
    <t>CFH/CFF</t>
  </si>
  <si>
    <t>CFI/CFG</t>
  </si>
  <si>
    <t>Longevity: CFG</t>
  </si>
  <si>
    <t>LNGCFG</t>
  </si>
  <si>
    <t>Longevity: CFF</t>
  </si>
  <si>
    <t>LNGCFF</t>
  </si>
  <si>
    <t>Comp Rate</t>
  </si>
  <si>
    <t>Descr</t>
  </si>
  <si>
    <t>Min Years</t>
  </si>
  <si>
    <t>Level</t>
  </si>
  <si>
    <t>Eff Date</t>
  </si>
  <si>
    <t>Rate Code</t>
  </si>
  <si>
    <t xml:space="preserve"> 80</t>
  </si>
  <si>
    <t>PB_SENIORITY_RATES_PPO</t>
  </si>
  <si>
    <t>LNGCFH</t>
  </si>
  <si>
    <t>Longevity: CFH</t>
  </si>
  <si>
    <t>LNGCFI</t>
  </si>
  <si>
    <t>Longevity:  CFI</t>
  </si>
  <si>
    <t>Column Labels</t>
  </si>
  <si>
    <t>Row Labels</t>
  </si>
  <si>
    <t>Average of Comp Rate</t>
  </si>
  <si>
    <t>CFF/CFH Diff</t>
  </si>
  <si>
    <t>CFG/CFI Diff</t>
  </si>
  <si>
    <t>CFI</t>
  </si>
  <si>
    <t>CFF/109.2</t>
  </si>
  <si>
    <t>CFG/80</t>
  </si>
  <si>
    <t>CFH/109.2</t>
  </si>
  <si>
    <t>CFI/80</t>
  </si>
  <si>
    <t>CFI 1</t>
  </si>
  <si>
    <t>CFH 1</t>
  </si>
  <si>
    <t>should be</t>
  </si>
  <si>
    <t>COMET</t>
  </si>
  <si>
    <t>CFG - COMET</t>
  </si>
  <si>
    <t>ID</t>
  </si>
  <si>
    <t>Name</t>
  </si>
  <si>
    <t>Job Title</t>
  </si>
  <si>
    <t>Sal Plan</t>
  </si>
  <si>
    <t>Base Hrly Rate</t>
  </si>
  <si>
    <t>Base Annualized Rate</t>
  </si>
  <si>
    <t>Lng Hrly Rate</t>
  </si>
  <si>
    <t>Lng Annualized Rate</t>
  </si>
  <si>
    <t>Department</t>
  </si>
  <si>
    <t>Reg/Temp</t>
  </si>
  <si>
    <t>Stnd Hrs/Wk</t>
  </si>
  <si>
    <t>Step</t>
  </si>
  <si>
    <t>Step Date</t>
  </si>
  <si>
    <t>Sal Grade</t>
  </si>
  <si>
    <t>Class Grade</t>
  </si>
  <si>
    <t>Tot Points</t>
  </si>
  <si>
    <t>FLSA Stat</t>
  </si>
  <si>
    <t>Sex</t>
  </si>
  <si>
    <t>Last Start</t>
  </si>
  <si>
    <t>Empl Record</t>
  </si>
  <si>
    <t>Fire Staff Captain 40 hr wk-C</t>
  </si>
  <si>
    <t>FIRE DEPARTMENT</t>
  </si>
  <si>
    <t>R</t>
  </si>
  <si>
    <t>4</t>
  </si>
  <si>
    <t>F</t>
  </si>
  <si>
    <t>098122</t>
  </si>
  <si>
    <t>Ramos,Raul Antonio</t>
  </si>
  <si>
    <t>M</t>
  </si>
  <si>
    <t>096566</t>
  </si>
  <si>
    <t>Olson,Sean Alan</t>
  </si>
  <si>
    <t>096553</t>
  </si>
  <si>
    <t>Pleasants,Stephen Edward</t>
  </si>
  <si>
    <t>095999</t>
  </si>
  <si>
    <t>Anderson,Casidy Anise</t>
  </si>
  <si>
    <r>
      <rPr>
        <b/>
        <sz val="11"/>
        <color theme="0"/>
        <rFont val="Calibri"/>
        <family val="2"/>
        <scheme val="minor"/>
      </rPr>
      <t>CFF</t>
    </r>
    <r>
      <rPr>
        <sz val="11"/>
        <color theme="0"/>
        <rFont val="Calibri"/>
        <family val="2"/>
        <scheme val="minor"/>
      </rPr>
      <t>/109.2</t>
    </r>
  </si>
  <si>
    <r>
      <rPr>
        <b/>
        <sz val="11"/>
        <color theme="0"/>
        <rFont val="Calibri"/>
        <family val="2"/>
        <scheme val="minor"/>
      </rPr>
      <t>CFG</t>
    </r>
    <r>
      <rPr>
        <sz val="11"/>
        <color theme="0"/>
        <rFont val="Calibri"/>
        <family val="2"/>
        <scheme val="minor"/>
      </rPr>
      <t>/80</t>
    </r>
  </si>
  <si>
    <r>
      <rPr>
        <b/>
        <sz val="11"/>
        <color theme="0"/>
        <rFont val="Calibri"/>
        <family val="2"/>
        <scheme val="minor"/>
      </rPr>
      <t>CFH</t>
    </r>
    <r>
      <rPr>
        <sz val="11"/>
        <color theme="0"/>
        <rFont val="Calibri"/>
        <family val="2"/>
        <scheme val="minor"/>
      </rPr>
      <t>/109.2</t>
    </r>
  </si>
  <si>
    <r>
      <rPr>
        <b/>
        <sz val="11"/>
        <color theme="0"/>
        <rFont val="Calibri"/>
        <family val="2"/>
        <scheme val="minor"/>
      </rPr>
      <t>CFI</t>
    </r>
    <r>
      <rPr>
        <sz val="11"/>
        <color theme="0"/>
        <rFont val="Calibri"/>
        <family val="2"/>
        <scheme val="minor"/>
      </rPr>
      <t>/80</t>
    </r>
  </si>
  <si>
    <t>Comments</t>
  </si>
  <si>
    <t>Hourly Rates</t>
  </si>
  <si>
    <t>Classification</t>
  </si>
  <si>
    <t>04452C</t>
  </si>
  <si>
    <t>Firerighter Bell Curve-C</t>
  </si>
  <si>
    <t>Divid by 80</t>
  </si>
  <si>
    <t>currently not on published schedule</t>
  </si>
  <si>
    <t xml:space="preserve">   Divide by 109.2</t>
  </si>
  <si>
    <t>Bi-Wkly Hrs</t>
  </si>
  <si>
    <t>Update</t>
  </si>
  <si>
    <t>Y</t>
  </si>
  <si>
    <t>Data</t>
  </si>
  <si>
    <t>IncrPerc2023</t>
  </si>
  <si>
    <t>Data2021</t>
  </si>
  <si>
    <t>Data2022</t>
  </si>
  <si>
    <t>IncrPerc2022</t>
  </si>
  <si>
    <t>IncrPerc2024</t>
  </si>
  <si>
    <t>Data2023</t>
  </si>
  <si>
    <t>IncrPerc2025</t>
  </si>
  <si>
    <t>Data2024</t>
  </si>
  <si>
    <t>Description</t>
  </si>
  <si>
    <t>Firerighter Bell Curve-C*</t>
  </si>
  <si>
    <t>*currently not on published schedule</t>
  </si>
  <si>
    <t>Paid Every 2 Weeks</t>
  </si>
  <si>
    <t>Compensation Calculations</t>
  </si>
  <si>
    <t>HRIS/Payroll Data</t>
  </si>
  <si>
    <r>
      <t>Career Ladder Promotion Plan - Fire Inspectors:</t>
    </r>
    <r>
      <rPr>
        <sz val="11"/>
        <rFont val="Calibri"/>
        <family val="2"/>
        <scheme val="minor"/>
      </rPr>
      <t xml:space="preserve"> This plan, which is in conformance with the national Fire Protection </t>
    </r>
  </si>
  <si>
    <t>Increase %: 2.5%;  Market Adjustment: 4.00%</t>
  </si>
  <si>
    <t>Effective on January 1, 2022</t>
  </si>
  <si>
    <t>Effective on January 1, 2023</t>
  </si>
  <si>
    <t>Last Updated: October 31, 2023</t>
  </si>
  <si>
    <t>Effective on January 1, 2024</t>
  </si>
  <si>
    <t>Effective on January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</si>
</sst>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"/>
    <numFmt numFmtId="165" formatCode="0.000"/>
    <numFmt numFmtId="166" formatCode="_(&quot;$&quot;* #,##0.000000_);_(&quot;$&quot;* \(#,##0.000000\);_(&quot;$&quot;* &quot;-&quot;??????_);_(@_)"/>
    <numFmt numFmtId="167" formatCode="0.000000"/>
    <numFmt numFmtId="168" formatCode="_(&quot;$&quot;* #,##0.000_);_(&quot;$&quot;* \(#,##0.000\);_(&quot;$&quot;* &quot;-&quot;???_);_(@_)"/>
    <numFmt numFmtId="169" formatCode="0.0000"/>
    <numFmt numFmtId="170" formatCode="_(&quot;$&quot;* #,##0.000_);_(&quot;$&quot;* \(#,##0.000\);_(&quot;$&quot;* &quot;-&quot;??_);_(@_)"/>
    <numFmt numFmtId="171" formatCode="&quot;$&quot;#,##0"/>
    <numFmt numFmtId="172" formatCode="_(&quot;$&quot;* #,##0.000000_);_(&quot;$&quot;* \(#,##0.000000\);_(&quot;$&quot;* &quot;-&quot;??_);_(@_)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.5"/>
      <name val="MS Sans Serif"/>
      <family val="2"/>
    </font>
    <font>
      <sz val="10"/>
      <name val="MS Sans Serif"/>
      <family val="2"/>
    </font>
    <font>
      <sz val="10"/>
      <name val="Marigold"/>
      <family val="4"/>
    </font>
    <font>
      <b/>
      <sz val="8.5"/>
      <name val="MS Sans Serif"/>
      <family val="2"/>
    </font>
    <font>
      <sz val="8.5"/>
      <name val="Marigold"/>
      <family val="4"/>
    </font>
    <font>
      <sz val="8.5"/>
      <name val="Arial"/>
      <family val="2"/>
    </font>
    <font>
      <sz val="8"/>
      <name val="Arial"/>
      <family val="2"/>
    </font>
    <font>
      <sz val="8.5"/>
      <name val="Arial"/>
      <family val="2"/>
    </font>
    <font>
      <b/>
      <sz val="9"/>
      <name val="Helv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u val="singleAccounting"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sz val="10"/>
      <color theme="0"/>
      <name val="Arial"/>
      <family val="2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</cellStyleXfs>
  <cellXfs count="351">
    <xf numFmtId="0" fontId="0" fillId="0" borderId="0" xfId="0"/>
    <xf numFmtId="0" fontId="4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wrapText="1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Fill="1" applyAlignment="1" applyProtection="1">
      <alignment wrapText="1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0" fontId="7" fillId="0" borderId="0" xfId="0" applyFont="1" applyFill="1" applyProtection="1"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8" fillId="0" borderId="0" xfId="0" applyFont="1" applyFill="1" applyProtection="1">
      <protection hidden="1"/>
    </xf>
    <xf numFmtId="0" fontId="9" fillId="0" borderId="0" xfId="0" applyFont="1" applyFill="1" applyProtection="1">
      <protection hidden="1"/>
    </xf>
    <xf numFmtId="165" fontId="0" fillId="0" borderId="0" xfId="0" applyNumberForma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11" fillId="0" borderId="0" xfId="0" applyFont="1" applyFill="1" applyProtection="1"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12" fillId="0" borderId="0" xfId="0" applyFont="1" applyFill="1" applyAlignment="1" applyProtection="1">
      <alignment horizontal="center"/>
      <protection hidden="1"/>
    </xf>
    <xf numFmtId="0" fontId="12" fillId="0" borderId="0" xfId="0" applyFont="1" applyFill="1" applyProtection="1">
      <protection hidden="1"/>
    </xf>
    <xf numFmtId="0" fontId="5" fillId="0" borderId="0" xfId="0" applyFont="1" applyFill="1" applyProtection="1">
      <protection hidden="1"/>
    </xf>
    <xf numFmtId="0" fontId="13" fillId="0" borderId="0" xfId="0" applyFont="1" applyFill="1" applyProtection="1">
      <protection hidden="1"/>
    </xf>
    <xf numFmtId="44" fontId="14" fillId="0" borderId="0" xfId="1" applyFont="1" applyFill="1" applyAlignment="1" applyProtection="1">
      <protection hidden="1"/>
    </xf>
    <xf numFmtId="8" fontId="14" fillId="0" borderId="0" xfId="0" applyNumberFormat="1" applyFont="1" applyFill="1" applyProtection="1">
      <protection hidden="1"/>
    </xf>
    <xf numFmtId="44" fontId="14" fillId="0" borderId="0" xfId="1" applyFont="1" applyFill="1" applyProtection="1">
      <protection hidden="1"/>
    </xf>
    <xf numFmtId="0" fontId="14" fillId="0" borderId="0" xfId="0" applyFont="1" applyFill="1" applyProtection="1">
      <protection hidden="1"/>
    </xf>
    <xf numFmtId="44" fontId="13" fillId="0" borderId="0" xfId="1" applyFont="1" applyFill="1" applyProtection="1">
      <protection hidden="1"/>
    </xf>
    <xf numFmtId="3" fontId="15" fillId="0" borderId="0" xfId="0" applyNumberFormat="1" applyFont="1" applyFill="1" applyProtection="1">
      <protection hidden="1"/>
    </xf>
    <xf numFmtId="0" fontId="16" fillId="0" borderId="0" xfId="0" applyFont="1" applyFill="1" applyProtection="1">
      <protection hidden="1"/>
    </xf>
    <xf numFmtId="8" fontId="0" fillId="0" borderId="0" xfId="0" applyNumberFormat="1" applyFill="1" applyProtection="1">
      <protection hidden="1"/>
    </xf>
    <xf numFmtId="0" fontId="5" fillId="2" borderId="0" xfId="0" applyFont="1" applyFill="1" applyAlignment="1" applyProtection="1">
      <alignment horizontal="center" wrapText="1"/>
      <protection hidden="1"/>
    </xf>
    <xf numFmtId="0" fontId="0" fillId="2" borderId="0" xfId="0" applyFill="1" applyAlignment="1" applyProtection="1">
      <alignment horizontal="center"/>
      <protection hidden="1"/>
    </xf>
    <xf numFmtId="3" fontId="0" fillId="0" borderId="0" xfId="0" applyNumberFormat="1" applyFill="1" applyAlignment="1" applyProtection="1">
      <alignment horizontal="center"/>
      <protection hidden="1"/>
    </xf>
    <xf numFmtId="0" fontId="4" fillId="0" borderId="0" xfId="3" applyFont="1" applyFill="1" applyAlignment="1" applyProtection="1">
      <alignment horizontal="center"/>
      <protection hidden="1"/>
    </xf>
    <xf numFmtId="3" fontId="6" fillId="0" borderId="0" xfId="3" applyNumberFormat="1" applyFill="1" applyAlignment="1" applyProtection="1">
      <alignment horizontal="center"/>
      <protection hidden="1"/>
    </xf>
    <xf numFmtId="0" fontId="6" fillId="0" borderId="0" xfId="3" applyFont="1" applyFill="1" applyAlignment="1" applyProtection="1">
      <alignment horizontal="center"/>
      <protection hidden="1"/>
    </xf>
    <xf numFmtId="0" fontId="6" fillId="0" borderId="0" xfId="3" applyFont="1" applyFill="1" applyAlignment="1" applyProtection="1">
      <alignment horizontal="left"/>
      <protection hidden="1"/>
    </xf>
    <xf numFmtId="0" fontId="3" fillId="0" borderId="0" xfId="0" applyFont="1" applyFill="1" applyProtection="1">
      <protection hidden="1"/>
    </xf>
    <xf numFmtId="44" fontId="12" fillId="0" borderId="0" xfId="1" applyFont="1" applyFill="1" applyProtection="1">
      <protection hidden="1"/>
    </xf>
    <xf numFmtId="0" fontId="20" fillId="0" borderId="0" xfId="0" applyFont="1" applyFill="1" applyProtection="1">
      <protection hidden="1"/>
    </xf>
    <xf numFmtId="0" fontId="21" fillId="0" borderId="0" xfId="0" applyFont="1" applyFill="1" applyProtection="1">
      <protection hidden="1"/>
    </xf>
    <xf numFmtId="0" fontId="20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horizontal="center"/>
      <protection hidden="1"/>
    </xf>
    <xf numFmtId="0" fontId="20" fillId="0" borderId="0" xfId="0" applyFont="1" applyFill="1" applyAlignment="1" applyProtection="1">
      <alignment horizontal="center" wrapText="1"/>
      <protection hidden="1"/>
    </xf>
    <xf numFmtId="0" fontId="21" fillId="0" borderId="0" xfId="0" applyFont="1" applyFill="1" applyAlignment="1" applyProtection="1">
      <alignment horizontal="center"/>
      <protection hidden="1"/>
    </xf>
    <xf numFmtId="3" fontId="21" fillId="0" borderId="0" xfId="0" applyNumberFormat="1" applyFont="1" applyFill="1" applyAlignment="1" applyProtection="1">
      <alignment horizontal="center"/>
      <protection hidden="1"/>
    </xf>
    <xf numFmtId="0" fontId="21" fillId="0" borderId="0" xfId="0" applyFont="1" applyFill="1" applyAlignment="1" applyProtection="1">
      <alignment wrapText="1"/>
      <protection hidden="1"/>
    </xf>
    <xf numFmtId="165" fontId="21" fillId="0" borderId="0" xfId="0" applyNumberFormat="1" applyFont="1" applyFill="1" applyAlignment="1" applyProtection="1">
      <alignment horizontal="center"/>
      <protection hidden="1"/>
    </xf>
    <xf numFmtId="0" fontId="21" fillId="0" borderId="0" xfId="0" applyFont="1" applyFill="1" applyAlignment="1" applyProtection="1">
      <alignment horizontal="left"/>
      <protection hidden="1"/>
    </xf>
    <xf numFmtId="8" fontId="21" fillId="0" borderId="0" xfId="0" applyNumberFormat="1" applyFont="1" applyFill="1" applyProtection="1">
      <protection hidden="1"/>
    </xf>
    <xf numFmtId="44" fontId="21" fillId="0" borderId="0" xfId="1" applyFont="1" applyFill="1" applyProtection="1">
      <protection hidden="1"/>
    </xf>
    <xf numFmtId="44" fontId="21" fillId="0" borderId="0" xfId="1" applyFont="1" applyFill="1" applyAlignment="1" applyProtection="1">
      <protection hidden="1"/>
    </xf>
    <xf numFmtId="3" fontId="20" fillId="0" borderId="0" xfId="0" applyNumberFormat="1" applyFont="1" applyFill="1" applyProtection="1">
      <protection hidden="1"/>
    </xf>
    <xf numFmtId="0" fontId="22" fillId="0" borderId="0" xfId="0" applyFont="1" applyFill="1" applyProtection="1">
      <protection hidden="1"/>
    </xf>
    <xf numFmtId="164" fontId="21" fillId="0" borderId="0" xfId="0" applyNumberFormat="1" applyFont="1" applyFill="1" applyAlignment="1" applyProtection="1">
      <alignment horizontal="center"/>
      <protection hidden="1"/>
    </xf>
    <xf numFmtId="44" fontId="21" fillId="0" borderId="0" xfId="1" applyFont="1" applyFill="1" applyAlignment="1" applyProtection="1">
      <protection hidden="1"/>
    </xf>
    <xf numFmtId="0" fontId="22" fillId="0" borderId="1" xfId="0" applyFont="1" applyFill="1" applyBorder="1" applyProtection="1">
      <protection hidden="1"/>
    </xf>
    <xf numFmtId="0" fontId="20" fillId="0" borderId="1" xfId="0" applyFont="1" applyFill="1" applyBorder="1" applyProtection="1">
      <protection hidden="1"/>
    </xf>
    <xf numFmtId="0" fontId="21" fillId="0" borderId="1" xfId="0" applyFont="1" applyFill="1" applyBorder="1" applyProtection="1">
      <protection hidden="1"/>
    </xf>
    <xf numFmtId="0" fontId="20" fillId="0" borderId="1" xfId="0" applyFont="1" applyFill="1" applyBorder="1" applyAlignment="1" applyProtection="1">
      <alignment horizontal="center"/>
      <protection hidden="1"/>
    </xf>
    <xf numFmtId="0" fontId="20" fillId="0" borderId="1" xfId="0" applyFont="1" applyFill="1" applyBorder="1" applyAlignment="1" applyProtection="1">
      <alignment horizontal="left"/>
      <protection hidden="1"/>
    </xf>
    <xf numFmtId="0" fontId="20" fillId="0" borderId="1" xfId="0" applyFont="1" applyFill="1" applyBorder="1" applyAlignment="1" applyProtection="1">
      <alignment horizontal="center" wrapText="1"/>
      <protection hidden="1"/>
    </xf>
    <xf numFmtId="0" fontId="21" fillId="0" borderId="1" xfId="0" applyFont="1" applyFill="1" applyBorder="1" applyAlignment="1" applyProtection="1">
      <alignment horizontal="center"/>
      <protection hidden="1"/>
    </xf>
    <xf numFmtId="3" fontId="21" fillId="0" borderId="1" xfId="0" applyNumberFormat="1" applyFont="1" applyFill="1" applyBorder="1" applyAlignment="1" applyProtection="1">
      <alignment horizontal="center"/>
      <protection hidden="1"/>
    </xf>
    <xf numFmtId="0" fontId="21" fillId="0" borderId="1" xfId="0" applyFont="1" applyFill="1" applyBorder="1" applyAlignment="1" applyProtection="1">
      <alignment wrapText="1"/>
      <protection hidden="1"/>
    </xf>
    <xf numFmtId="0" fontId="28" fillId="0" borderId="0" xfId="0" applyFont="1" applyFill="1" applyProtection="1">
      <protection hidden="1"/>
    </xf>
    <xf numFmtId="0" fontId="28" fillId="0" borderId="0" xfId="0" applyFont="1" applyFill="1" applyBorder="1" applyProtection="1">
      <protection hidden="1"/>
    </xf>
    <xf numFmtId="166" fontId="27" fillId="0" borderId="0" xfId="1" applyNumberFormat="1" applyFont="1" applyFill="1" applyBorder="1" applyAlignment="1" applyProtection="1">
      <alignment horizontal="center"/>
      <protection hidden="1"/>
    </xf>
    <xf numFmtId="166" fontId="28" fillId="0" borderId="0" xfId="1" applyNumberFormat="1" applyFont="1" applyFill="1" applyBorder="1" applyProtection="1">
      <protection hidden="1"/>
    </xf>
    <xf numFmtId="0" fontId="27" fillId="0" borderId="0" xfId="0" applyFont="1" applyFill="1" applyProtection="1">
      <protection hidden="1"/>
    </xf>
    <xf numFmtId="0" fontId="27" fillId="0" borderId="0" xfId="0" applyFont="1" applyFill="1" applyAlignment="1" applyProtection="1">
      <alignment horizontal="center" wrapText="1"/>
      <protection hidden="1"/>
    </xf>
    <xf numFmtId="165" fontId="28" fillId="0" borderId="0" xfId="0" applyNumberFormat="1" applyFont="1" applyFill="1" applyAlignment="1" applyProtection="1">
      <alignment horizontal="center"/>
      <protection hidden="1"/>
    </xf>
    <xf numFmtId="0" fontId="28" fillId="0" borderId="0" xfId="0" applyFont="1" applyFill="1" applyAlignment="1" applyProtection="1">
      <alignment horizontal="center"/>
      <protection hidden="1"/>
    </xf>
    <xf numFmtId="167" fontId="28" fillId="0" borderId="0" xfId="1" applyNumberFormat="1" applyFont="1" applyFill="1" applyProtection="1">
      <protection hidden="1"/>
    </xf>
    <xf numFmtId="167" fontId="28" fillId="0" borderId="0" xfId="0" applyNumberFormat="1" applyFont="1" applyFill="1" applyProtection="1">
      <protection hidden="1"/>
    </xf>
    <xf numFmtId="8" fontId="28" fillId="0" borderId="0" xfId="0" applyNumberFormat="1" applyFont="1" applyFill="1" applyProtection="1">
      <protection hidden="1"/>
    </xf>
    <xf numFmtId="167" fontId="28" fillId="0" borderId="0" xfId="1" applyNumberFormat="1" applyFont="1" applyFill="1" applyAlignment="1" applyProtection="1">
      <protection hidden="1"/>
    </xf>
    <xf numFmtId="0" fontId="27" fillId="0" borderId="0" xfId="0" applyFont="1" applyFill="1" applyAlignment="1" applyProtection="1">
      <alignment horizontal="center"/>
      <protection hidden="1"/>
    </xf>
    <xf numFmtId="0" fontId="21" fillId="0" borderId="2" xfId="0" applyFont="1" applyFill="1" applyBorder="1" applyProtection="1">
      <protection hidden="1"/>
    </xf>
    <xf numFmtId="0" fontId="20" fillId="0" borderId="2" xfId="0" applyFont="1" applyFill="1" applyBorder="1" applyProtection="1">
      <protection hidden="1"/>
    </xf>
    <xf numFmtId="0" fontId="20" fillId="0" borderId="2" xfId="0" applyFont="1" applyFill="1" applyBorder="1" applyAlignment="1" applyProtection="1">
      <alignment horizontal="center" wrapText="1"/>
      <protection hidden="1"/>
    </xf>
    <xf numFmtId="3" fontId="21" fillId="0" borderId="2" xfId="0" applyNumberFormat="1" applyFont="1" applyFill="1" applyBorder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horizontal="center"/>
      <protection hidden="1"/>
    </xf>
    <xf numFmtId="0" fontId="27" fillId="0" borderId="0" xfId="0" applyFont="1" applyFill="1" applyBorder="1" applyAlignment="1" applyProtection="1">
      <alignment horizontal="center"/>
      <protection hidden="1"/>
    </xf>
    <xf numFmtId="0" fontId="27" fillId="0" borderId="0" xfId="0" applyFont="1" applyFill="1" applyBorder="1" applyAlignment="1" applyProtection="1">
      <alignment horizontal="center" wrapText="1"/>
      <protection hidden="1"/>
    </xf>
    <xf numFmtId="165" fontId="28" fillId="0" borderId="0" xfId="0" applyNumberFormat="1" applyFont="1" applyFill="1" applyBorder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wrapText="1"/>
      <protection hidden="1"/>
    </xf>
    <xf numFmtId="44" fontId="28" fillId="0" borderId="0" xfId="1" applyFont="1" applyFill="1" applyBorder="1" applyAlignment="1" applyProtection="1">
      <alignment horizontal="center"/>
      <protection hidden="1"/>
    </xf>
    <xf numFmtId="8" fontId="28" fillId="0" borderId="0" xfId="0" applyNumberFormat="1" applyFont="1" applyFill="1" applyBorder="1" applyProtection="1">
      <protection hidden="1"/>
    </xf>
    <xf numFmtId="0" fontId="27" fillId="0" borderId="0" xfId="0" applyFont="1" applyFill="1" applyBorder="1" applyProtection="1">
      <protection hidden="1"/>
    </xf>
    <xf numFmtId="8" fontId="27" fillId="0" borderId="0" xfId="0" applyNumberFormat="1" applyFont="1" applyFill="1" applyBorder="1" applyAlignment="1" applyProtection="1">
      <alignment horizontal="center"/>
      <protection hidden="1"/>
    </xf>
    <xf numFmtId="44" fontId="21" fillId="0" borderId="0" xfId="1" applyFont="1" applyFill="1" applyAlignment="1" applyProtection="1">
      <protection hidden="1"/>
    </xf>
    <xf numFmtId="44" fontId="21" fillId="0" borderId="0" xfId="1" applyFont="1" applyFill="1" applyAlignment="1" applyProtection="1">
      <protection hidden="1"/>
    </xf>
    <xf numFmtId="168" fontId="21" fillId="0" borderId="0" xfId="0" applyNumberFormat="1" applyFont="1" applyFill="1" applyProtection="1">
      <protection hidden="1"/>
    </xf>
    <xf numFmtId="0" fontId="1" fillId="0" borderId="0" xfId="5"/>
    <xf numFmtId="0" fontId="1" fillId="0" borderId="0" xfId="5" applyAlignment="1">
      <alignment horizontal="center" vertical="center"/>
    </xf>
    <xf numFmtId="0" fontId="21" fillId="0" borderId="0" xfId="0" applyFont="1" applyFill="1" applyBorder="1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 applyProtection="1">
      <alignment horizontal="center" vertical="center"/>
      <protection hidden="1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21" fillId="0" borderId="1" xfId="0" applyFont="1" applyFill="1" applyBorder="1" applyAlignment="1" applyProtection="1">
      <alignment horizontal="center" vertical="center"/>
      <protection hidden="1"/>
    </xf>
    <xf numFmtId="44" fontId="21" fillId="0" borderId="0" xfId="0" applyNumberFormat="1" applyFont="1" applyFill="1" applyBorder="1" applyProtection="1">
      <protection hidden="1"/>
    </xf>
    <xf numFmtId="44" fontId="21" fillId="0" borderId="0" xfId="1" applyFont="1" applyFill="1" applyBorder="1" applyAlignment="1" applyProtection="1">
      <protection hidden="1"/>
    </xf>
    <xf numFmtId="0" fontId="21" fillId="0" borderId="0" xfId="0" applyFont="1" applyFill="1" applyBorder="1" applyAlignment="1" applyProtection="1">
      <alignment horizontal="right"/>
      <protection hidden="1"/>
    </xf>
    <xf numFmtId="0" fontId="29" fillId="0" borderId="1" xfId="0" applyFont="1" applyFill="1" applyBorder="1" applyAlignment="1" applyProtection="1">
      <alignment horizontal="left"/>
      <protection hidden="1"/>
    </xf>
    <xf numFmtId="14" fontId="0" fillId="0" borderId="0" xfId="0" applyNumberFormat="1"/>
    <xf numFmtId="0" fontId="2" fillId="0" borderId="0" xfId="0" applyFont="1"/>
    <xf numFmtId="165" fontId="21" fillId="0" borderId="0" xfId="0" applyNumberFormat="1" applyFont="1" applyFill="1" applyProtection="1">
      <protection hidden="1"/>
    </xf>
    <xf numFmtId="169" fontId="21" fillId="0" borderId="0" xfId="0" applyNumberFormat="1" applyFont="1" applyFill="1" applyProtection="1">
      <protection hidden="1"/>
    </xf>
    <xf numFmtId="0" fontId="21" fillId="0" borderId="0" xfId="0" applyFont="1" applyFill="1" applyAlignment="1" applyProtection="1">
      <alignment horizontal="center"/>
      <protection hidden="1"/>
    </xf>
    <xf numFmtId="170" fontId="21" fillId="0" borderId="0" xfId="1" applyNumberFormat="1" applyFont="1" applyFill="1" applyProtection="1">
      <protection hidden="1"/>
    </xf>
    <xf numFmtId="0" fontId="21" fillId="0" borderId="0" xfId="0" applyFont="1" applyFill="1" applyAlignment="1" applyProtection="1">
      <alignment horizontal="left" wrapText="1"/>
      <protection hidden="1"/>
    </xf>
    <xf numFmtId="8" fontId="28" fillId="0" borderId="0" xfId="0" applyNumberFormat="1" applyFont="1" applyFill="1" applyBorder="1" applyAlignment="1" applyProtection="1">
      <alignment horizontal="center"/>
      <protection hidden="1"/>
    </xf>
    <xf numFmtId="14" fontId="2" fillId="0" borderId="0" xfId="0" applyNumberFormat="1" applyFont="1"/>
    <xf numFmtId="0" fontId="30" fillId="0" borderId="0" xfId="0" applyFont="1" applyFill="1" applyBorder="1" applyAlignment="1" applyProtection="1">
      <alignment horizontal="center"/>
      <protection hidden="1"/>
    </xf>
    <xf numFmtId="0" fontId="31" fillId="0" borderId="0" xfId="0" quotePrefix="1" applyFont="1" applyFill="1" applyAlignment="1" applyProtection="1">
      <alignment horizontal="center"/>
      <protection hidden="1"/>
    </xf>
    <xf numFmtId="165" fontId="31" fillId="0" borderId="0" xfId="0" quotePrefix="1" applyNumberFormat="1" applyFont="1" applyFill="1" applyAlignment="1" applyProtection="1">
      <alignment horizontal="center"/>
      <protection hidden="1"/>
    </xf>
    <xf numFmtId="0" fontId="31" fillId="0" borderId="0" xfId="0" applyFont="1" applyFill="1" applyAlignment="1" applyProtection="1">
      <alignment horizontal="center"/>
      <protection hidden="1"/>
    </xf>
    <xf numFmtId="8" fontId="30" fillId="0" borderId="0" xfId="0" applyNumberFormat="1" applyFont="1" applyFill="1" applyBorder="1" applyAlignment="1" applyProtection="1">
      <alignment horizontal="center"/>
      <protection hidden="1"/>
    </xf>
    <xf numFmtId="0" fontId="30" fillId="0" borderId="0" xfId="0" applyFont="1" applyFill="1" applyAlignment="1" applyProtection="1">
      <alignment horizontal="center"/>
      <protection hidden="1"/>
    </xf>
    <xf numFmtId="0" fontId="31" fillId="0" borderId="4" xfId="0" applyFont="1" applyFill="1" applyBorder="1" applyAlignment="1" applyProtection="1">
      <alignment horizontal="center"/>
      <protection hidden="1"/>
    </xf>
    <xf numFmtId="14" fontId="31" fillId="0" borderId="5" xfId="0" applyNumberFormat="1" applyFont="1" applyFill="1" applyBorder="1" applyAlignment="1" applyProtection="1">
      <alignment horizontal="center"/>
      <protection hidden="1"/>
    </xf>
    <xf numFmtId="165" fontId="21" fillId="0" borderId="6" xfId="0" applyNumberFormat="1" applyFont="1" applyFill="1" applyBorder="1" applyAlignment="1" applyProtection="1">
      <alignment horizontal="center"/>
      <protection hidden="1"/>
    </xf>
    <xf numFmtId="165" fontId="21" fillId="0" borderId="7" xfId="0" applyNumberFormat="1" applyFont="1" applyFill="1" applyBorder="1" applyAlignment="1" applyProtection="1">
      <alignment horizontal="center"/>
      <protection hidden="1"/>
    </xf>
    <xf numFmtId="165" fontId="21" fillId="0" borderId="8" xfId="0" applyNumberFormat="1" applyFont="1" applyFill="1" applyBorder="1" applyAlignment="1" applyProtection="1">
      <alignment horizontal="center"/>
      <protection hidden="1"/>
    </xf>
    <xf numFmtId="0" fontId="31" fillId="0" borderId="0" xfId="0" applyFont="1" applyFill="1" applyBorder="1" applyAlignment="1" applyProtection="1">
      <alignment horizontal="center"/>
      <protection hidden="1"/>
    </xf>
    <xf numFmtId="165" fontId="21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8"/>
    <xf numFmtId="167" fontId="33" fillId="0" borderId="0" xfId="8" applyNumberFormat="1"/>
    <xf numFmtId="1" fontId="33" fillId="0" borderId="0" xfId="8" applyNumberFormat="1"/>
    <xf numFmtId="14" fontId="33" fillId="0" borderId="0" xfId="8" applyNumberFormat="1"/>
    <xf numFmtId="167" fontId="33" fillId="4" borderId="0" xfId="8" applyNumberFormat="1" applyFill="1"/>
    <xf numFmtId="0" fontId="33" fillId="4" borderId="0" xfId="8" applyFill="1"/>
    <xf numFmtId="1" fontId="33" fillId="4" borderId="0" xfId="8" applyNumberFormat="1" applyFill="1"/>
    <xf numFmtId="14" fontId="33" fillId="4" borderId="0" xfId="8" applyNumberFormat="1" applyFill="1"/>
    <xf numFmtId="0" fontId="34" fillId="5" borderId="9" xfId="8" applyFont="1" applyFill="1" applyBorder="1"/>
    <xf numFmtId="165" fontId="33" fillId="0" borderId="0" xfId="8" applyNumberFormat="1"/>
    <xf numFmtId="43" fontId="31" fillId="0" borderId="0" xfId="7" applyNumberFormat="1" applyFont="1" applyFill="1" applyBorder="1" applyAlignment="1" applyProtection="1">
      <alignment horizontal="center"/>
      <protection hidden="1"/>
    </xf>
    <xf numFmtId="1" fontId="0" fillId="0" borderId="0" xfId="0" applyNumberFormat="1"/>
    <xf numFmtId="16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6" borderId="0" xfId="0" applyNumberFormat="1" applyFill="1"/>
    <xf numFmtId="0" fontId="0" fillId="7" borderId="0" xfId="0" applyNumberFormat="1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70" fontId="21" fillId="0" borderId="0" xfId="0" applyNumberFormat="1" applyFont="1" applyFill="1" applyProtection="1">
      <protection hidden="1"/>
    </xf>
    <xf numFmtId="44" fontId="21" fillId="0" borderId="0" xfId="0" applyNumberFormat="1" applyFont="1" applyFill="1" applyProtection="1">
      <protection hidden="1"/>
    </xf>
    <xf numFmtId="164" fontId="0" fillId="0" borderId="0" xfId="0" applyNumberFormat="1"/>
    <xf numFmtId="170" fontId="21" fillId="3" borderId="0" xfId="0" applyNumberFormat="1" applyFont="1" applyFill="1" applyProtection="1">
      <protection hidden="1"/>
    </xf>
    <xf numFmtId="168" fontId="21" fillId="0" borderId="0" xfId="1" applyNumberFormat="1" applyFont="1" applyFill="1" applyProtection="1">
      <protection hidden="1"/>
    </xf>
    <xf numFmtId="0" fontId="21" fillId="0" borderId="0" xfId="0" applyFont="1" applyFill="1" applyBorder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center" wrapText="1"/>
      <protection hidden="1"/>
    </xf>
    <xf numFmtId="44" fontId="21" fillId="0" borderId="0" xfId="1" applyFont="1" applyFill="1" applyBorder="1" applyAlignment="1" applyProtection="1">
      <alignment horizontal="center"/>
      <protection hidden="1"/>
    </xf>
    <xf numFmtId="8" fontId="21" fillId="0" borderId="0" xfId="0" applyNumberFormat="1" applyFont="1" applyFill="1" applyBorder="1" applyProtection="1">
      <protection hidden="1"/>
    </xf>
    <xf numFmtId="0" fontId="20" fillId="0" borderId="0" xfId="0" applyFont="1" applyFill="1" applyBorder="1" applyProtection="1">
      <protection hidden="1"/>
    </xf>
    <xf numFmtId="8" fontId="20" fillId="0" borderId="0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Fill="1" applyBorder="1" applyAlignment="1" applyProtection="1">
      <alignment horizontal="center" wrapText="1"/>
      <protection hidden="1"/>
    </xf>
    <xf numFmtId="3" fontId="21" fillId="0" borderId="0" xfId="0" applyNumberFormat="1" applyFont="1" applyFill="1" applyBorder="1" applyAlignment="1" applyProtection="1">
      <alignment horizontal="center"/>
      <protection hidden="1"/>
    </xf>
    <xf numFmtId="165" fontId="21" fillId="0" borderId="1" xfId="0" applyNumberFormat="1" applyFont="1" applyFill="1" applyBorder="1" applyAlignment="1" applyProtection="1">
      <alignment horizontal="center"/>
      <protection hidden="1"/>
    </xf>
    <xf numFmtId="2" fontId="33" fillId="0" borderId="0" xfId="8" applyNumberFormat="1"/>
    <xf numFmtId="0" fontId="33" fillId="0" borderId="0" xfId="8" applyFill="1"/>
    <xf numFmtId="167" fontId="33" fillId="0" borderId="0" xfId="8" applyNumberFormat="1" applyFill="1"/>
    <xf numFmtId="2" fontId="33" fillId="0" borderId="0" xfId="8" applyNumberFormat="1" applyFill="1"/>
    <xf numFmtId="1" fontId="33" fillId="0" borderId="0" xfId="8" applyNumberFormat="1" applyFill="1"/>
    <xf numFmtId="14" fontId="33" fillId="0" borderId="0" xfId="8" applyNumberFormat="1" applyFill="1"/>
    <xf numFmtId="0" fontId="34" fillId="5" borderId="9" xfId="8" applyFont="1" applyFill="1" applyBorder="1" applyAlignment="1">
      <alignment horizontal="center"/>
    </xf>
    <xf numFmtId="0" fontId="33" fillId="0" borderId="0" xfId="8" applyFill="1" applyAlignment="1">
      <alignment horizontal="center"/>
    </xf>
    <xf numFmtId="0" fontId="33" fillId="0" borderId="0" xfId="8" applyAlignment="1">
      <alignment horizontal="center"/>
    </xf>
    <xf numFmtId="165" fontId="20" fillId="0" borderId="0" xfId="0" applyNumberFormat="1" applyFont="1" applyFill="1" applyProtection="1">
      <protection hidden="1"/>
    </xf>
    <xf numFmtId="44" fontId="21" fillId="0" borderId="0" xfId="1" applyFont="1" applyFill="1" applyAlignment="1" applyProtection="1">
      <protection hidden="1"/>
    </xf>
    <xf numFmtId="0" fontId="21" fillId="0" borderId="0" xfId="0" applyFont="1" applyFill="1" applyAlignment="1" applyProtection="1">
      <alignment horizontal="center"/>
      <protection hidden="1"/>
    </xf>
    <xf numFmtId="170" fontId="28" fillId="0" borderId="0" xfId="1" applyNumberFormat="1" applyFont="1" applyFill="1" applyProtection="1">
      <protection hidden="1"/>
    </xf>
    <xf numFmtId="44" fontId="28" fillId="0" borderId="0" xfId="1" applyFont="1" applyFill="1" applyProtection="1">
      <protection hidden="1"/>
    </xf>
    <xf numFmtId="170" fontId="28" fillId="0" borderId="0" xfId="0" applyNumberFormat="1" applyFont="1" applyFill="1" applyProtection="1">
      <protection hidden="1"/>
    </xf>
    <xf numFmtId="164" fontId="28" fillId="0" borderId="0" xfId="1" applyNumberFormat="1" applyFont="1" applyFill="1" applyProtection="1">
      <protection hidden="1"/>
    </xf>
    <xf numFmtId="164" fontId="28" fillId="0" borderId="0" xfId="1" applyNumberFormat="1" applyFont="1" applyFill="1" applyAlignment="1" applyProtection="1">
      <protection hidden="1"/>
    </xf>
    <xf numFmtId="164" fontId="28" fillId="0" borderId="0" xfId="0" applyNumberFormat="1" applyFont="1" applyFill="1" applyProtection="1">
      <protection hidden="1"/>
    </xf>
    <xf numFmtId="165" fontId="28" fillId="0" borderId="0" xfId="0" applyNumberFormat="1" applyFont="1" applyFill="1" applyProtection="1">
      <protection hidden="1"/>
    </xf>
    <xf numFmtId="165" fontId="28" fillId="0" borderId="0" xfId="1" applyNumberFormat="1" applyFont="1" applyFill="1" applyProtection="1">
      <protection hidden="1"/>
    </xf>
    <xf numFmtId="165" fontId="28" fillId="0" borderId="0" xfId="1" applyNumberFormat="1" applyFont="1" applyFill="1" applyAlignment="1" applyProtection="1">
      <protection hidden="1"/>
    </xf>
    <xf numFmtId="0" fontId="35" fillId="0" borderId="0" xfId="0" applyFont="1" applyProtection="1">
      <protection hidden="1"/>
    </xf>
    <xf numFmtId="0" fontId="0" fillId="0" borderId="0" xfId="0" applyProtection="1">
      <protection hidden="1"/>
    </xf>
    <xf numFmtId="0" fontId="35" fillId="0" borderId="0" xfId="0" applyFont="1" applyFill="1" applyProtection="1">
      <protection hidden="1"/>
    </xf>
    <xf numFmtId="0" fontId="21" fillId="0" borderId="1" xfId="0" applyFont="1" applyFill="1" applyBorder="1" applyAlignment="1" applyProtection="1">
      <alignment horizontal="center" wrapText="1"/>
      <protection hidden="1"/>
    </xf>
    <xf numFmtId="164" fontId="21" fillId="0" borderId="1" xfId="0" applyNumberFormat="1" applyFont="1" applyFill="1" applyBorder="1" applyAlignment="1" applyProtection="1">
      <alignment horizontal="center"/>
      <protection hidden="1"/>
    </xf>
    <xf numFmtId="164" fontId="21" fillId="0" borderId="1" xfId="1" applyNumberFormat="1" applyFont="1" applyFill="1" applyBorder="1" applyAlignment="1" applyProtection="1">
      <alignment horizontal="center"/>
      <protection hidden="1"/>
    </xf>
    <xf numFmtId="44" fontId="21" fillId="0" borderId="0" xfId="1" applyFont="1" applyFill="1" applyAlignment="1" applyProtection="1">
      <protection hidden="1"/>
    </xf>
    <xf numFmtId="0" fontId="21" fillId="0" borderId="0" xfId="0" applyFont="1" applyFill="1" applyAlignment="1" applyProtection="1">
      <alignment horizontal="center"/>
      <protection hidden="1"/>
    </xf>
    <xf numFmtId="0" fontId="20" fillId="0" borderId="1" xfId="0" applyFont="1" applyFill="1" applyBorder="1" applyAlignment="1" applyProtection="1">
      <alignment horizontal="center"/>
      <protection hidden="1"/>
    </xf>
    <xf numFmtId="0" fontId="20" fillId="8" borderId="1" xfId="0" applyFont="1" applyFill="1" applyBorder="1" applyAlignment="1" applyProtection="1">
      <alignment horizontal="center"/>
      <protection hidden="1"/>
    </xf>
    <xf numFmtId="164" fontId="21" fillId="8" borderId="1" xfId="1" applyNumberFormat="1" applyFont="1" applyFill="1" applyBorder="1" applyAlignment="1" applyProtection="1">
      <alignment horizontal="center"/>
      <protection hidden="1"/>
    </xf>
    <xf numFmtId="164" fontId="21" fillId="8" borderId="1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8" borderId="1" xfId="0" applyFont="1" applyFill="1" applyBorder="1" applyAlignment="1" applyProtection="1">
      <alignment horizontal="center" wrapText="1"/>
      <protection hidden="1"/>
    </xf>
    <xf numFmtId="0" fontId="21" fillId="8" borderId="1" xfId="0" applyFont="1" applyFill="1" applyBorder="1" applyProtection="1">
      <protection hidden="1"/>
    </xf>
    <xf numFmtId="0" fontId="21" fillId="8" borderId="1" xfId="0" applyFont="1" applyFill="1" applyBorder="1" applyAlignment="1" applyProtection="1">
      <alignment horizontal="center"/>
      <protection hidden="1"/>
    </xf>
    <xf numFmtId="0" fontId="21" fillId="8" borderId="1" xfId="0" applyFont="1" applyFill="1" applyBorder="1" applyAlignment="1" applyProtection="1">
      <alignment wrapText="1"/>
      <protection hidden="1"/>
    </xf>
    <xf numFmtId="0" fontId="22" fillId="0" borderId="12" xfId="0" applyFont="1" applyFill="1" applyBorder="1" applyProtection="1">
      <protection hidden="1"/>
    </xf>
    <xf numFmtId="0" fontId="20" fillId="0" borderId="12" xfId="0" applyFont="1" applyFill="1" applyBorder="1" applyProtection="1">
      <protection hidden="1"/>
    </xf>
    <xf numFmtId="0" fontId="20" fillId="0" borderId="4" xfId="0" applyFont="1" applyFill="1" applyBorder="1" applyProtection="1">
      <protection hidden="1"/>
    </xf>
    <xf numFmtId="0" fontId="20" fillId="0" borderId="13" xfId="0" applyFont="1" applyFill="1" applyBorder="1" applyAlignment="1" applyProtection="1">
      <alignment horizontal="center"/>
      <protection hidden="1"/>
    </xf>
    <xf numFmtId="0" fontId="29" fillId="0" borderId="0" xfId="0" applyFont="1" applyFill="1" applyBorder="1" applyAlignment="1" applyProtection="1">
      <alignment horizontal="left"/>
      <protection hidden="1"/>
    </xf>
    <xf numFmtId="0" fontId="21" fillId="0" borderId="13" xfId="0" applyFont="1" applyFill="1" applyBorder="1" applyAlignment="1" applyProtection="1">
      <alignment horizontal="center"/>
      <protection hidden="1"/>
    </xf>
    <xf numFmtId="0" fontId="21" fillId="0" borderId="13" xfId="0" applyFont="1" applyFill="1" applyBorder="1" applyProtection="1">
      <protection hidden="1"/>
    </xf>
    <xf numFmtId="0" fontId="20" fillId="0" borderId="14" xfId="0" applyFont="1" applyFill="1" applyBorder="1" applyAlignment="1" applyProtection="1">
      <alignment horizontal="center"/>
      <protection hidden="1"/>
    </xf>
    <xf numFmtId="0" fontId="20" fillId="0" borderId="15" xfId="0" applyFont="1" applyFill="1" applyBorder="1" applyAlignment="1" applyProtection="1">
      <alignment horizontal="center" wrapText="1"/>
      <protection hidden="1"/>
    </xf>
    <xf numFmtId="0" fontId="20" fillId="0" borderId="15" xfId="0" applyFont="1" applyFill="1" applyBorder="1" applyAlignment="1" applyProtection="1">
      <alignment horizontal="center"/>
      <protection hidden="1"/>
    </xf>
    <xf numFmtId="0" fontId="20" fillId="0" borderId="16" xfId="0" applyFont="1" applyFill="1" applyBorder="1" applyAlignment="1" applyProtection="1">
      <alignment horizontal="center" wrapText="1"/>
      <protection hidden="1"/>
    </xf>
    <xf numFmtId="0" fontId="21" fillId="0" borderId="17" xfId="0" applyFont="1" applyFill="1" applyBorder="1" applyAlignment="1" applyProtection="1">
      <alignment horizontal="center"/>
      <protection hidden="1"/>
    </xf>
    <xf numFmtId="0" fontId="21" fillId="0" borderId="19" xfId="0" applyFont="1" applyFill="1" applyBorder="1" applyAlignment="1" applyProtection="1">
      <alignment horizontal="center"/>
      <protection hidden="1"/>
    </xf>
    <xf numFmtId="0" fontId="21" fillId="0" borderId="21" xfId="0" applyFont="1" applyFill="1" applyBorder="1" applyAlignment="1" applyProtection="1">
      <alignment horizontal="center"/>
      <protection hidden="1"/>
    </xf>
    <xf numFmtId="0" fontId="21" fillId="0" borderId="22" xfId="0" applyFont="1" applyFill="1" applyBorder="1" applyAlignment="1" applyProtection="1">
      <alignment horizontal="center"/>
      <protection hidden="1"/>
    </xf>
    <xf numFmtId="0" fontId="21" fillId="0" borderId="22" xfId="0" applyFont="1" applyFill="1" applyBorder="1" applyProtection="1">
      <protection hidden="1"/>
    </xf>
    <xf numFmtId="0" fontId="20" fillId="0" borderId="22" xfId="0" applyFont="1" applyFill="1" applyBorder="1" applyProtection="1">
      <protection hidden="1"/>
    </xf>
    <xf numFmtId="171" fontId="21" fillId="0" borderId="13" xfId="0" applyNumberFormat="1" applyFont="1" applyFill="1" applyBorder="1" applyAlignment="1" applyProtection="1">
      <alignment horizontal="center"/>
      <protection hidden="1"/>
    </xf>
    <xf numFmtId="171" fontId="20" fillId="0" borderId="13" xfId="0" applyNumberFormat="1" applyFont="1" applyFill="1" applyBorder="1" applyAlignment="1" applyProtection="1">
      <alignment horizontal="center" wrapText="1"/>
      <protection hidden="1"/>
    </xf>
    <xf numFmtId="171" fontId="20" fillId="0" borderId="18" xfId="0" applyNumberFormat="1" applyFont="1" applyFill="1" applyBorder="1" applyAlignment="1" applyProtection="1">
      <alignment horizontal="center" wrapText="1"/>
      <protection hidden="1"/>
    </xf>
    <xf numFmtId="171" fontId="21" fillId="0" borderId="1" xfId="0" applyNumberFormat="1" applyFont="1" applyFill="1" applyBorder="1" applyAlignment="1" applyProtection="1">
      <alignment horizontal="center"/>
      <protection hidden="1"/>
    </xf>
    <xf numFmtId="171" fontId="21" fillId="0" borderId="20" xfId="0" applyNumberFormat="1" applyFont="1" applyFill="1" applyBorder="1" applyAlignment="1" applyProtection="1">
      <alignment horizontal="center"/>
      <protection hidden="1"/>
    </xf>
    <xf numFmtId="171" fontId="21" fillId="0" borderId="22" xfId="0" applyNumberFormat="1" applyFont="1" applyFill="1" applyBorder="1" applyAlignment="1" applyProtection="1">
      <alignment horizontal="center"/>
      <protection hidden="1"/>
    </xf>
    <xf numFmtId="171" fontId="21" fillId="0" borderId="23" xfId="0" applyNumberFormat="1" applyFont="1" applyFill="1" applyBorder="1" applyAlignment="1" applyProtection="1">
      <alignment horizontal="center"/>
      <protection hidden="1"/>
    </xf>
    <xf numFmtId="0" fontId="20" fillId="0" borderId="24" xfId="0" applyFont="1" applyFill="1" applyBorder="1" applyProtection="1">
      <protection hidden="1"/>
    </xf>
    <xf numFmtId="44" fontId="21" fillId="0" borderId="0" xfId="1" applyFont="1" applyFill="1" applyAlignment="1" applyProtection="1">
      <protection hidden="1"/>
    </xf>
    <xf numFmtId="0" fontId="21" fillId="0" borderId="0" xfId="0" applyFont="1" applyFill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left"/>
      <protection hidden="1"/>
    </xf>
    <xf numFmtId="0" fontId="20" fillId="8" borderId="1" xfId="0" applyFont="1" applyFill="1" applyBorder="1" applyAlignment="1" applyProtection="1">
      <alignment horizontal="center"/>
      <protection hidden="1"/>
    </xf>
    <xf numFmtId="0" fontId="21" fillId="8" borderId="1" xfId="0" applyFont="1" applyFill="1" applyBorder="1" applyAlignment="1" applyProtection="1">
      <alignment horizontal="center" wrapText="1"/>
      <protection hidden="1"/>
    </xf>
    <xf numFmtId="49" fontId="21" fillId="0" borderId="1" xfId="0" applyNumberFormat="1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Protection="1">
      <protection hidden="1"/>
    </xf>
    <xf numFmtId="0" fontId="20" fillId="0" borderId="1" xfId="0" applyFont="1" applyBorder="1" applyProtection="1">
      <protection hidden="1"/>
    </xf>
    <xf numFmtId="3" fontId="21" fillId="0" borderId="1" xfId="0" applyNumberFormat="1" applyFont="1" applyBorder="1" applyAlignment="1" applyProtection="1">
      <alignment horizontal="center"/>
      <protection hidden="1"/>
    </xf>
    <xf numFmtId="49" fontId="21" fillId="0" borderId="26" xfId="0" applyNumberFormat="1" applyFont="1" applyBorder="1" applyAlignment="1" applyProtection="1">
      <alignment horizontal="center"/>
      <protection hidden="1"/>
    </xf>
    <xf numFmtId="0" fontId="21" fillId="0" borderId="27" xfId="0" applyFont="1" applyBorder="1" applyAlignment="1" applyProtection="1">
      <alignment horizontal="center"/>
      <protection hidden="1"/>
    </xf>
    <xf numFmtId="0" fontId="21" fillId="0" borderId="27" xfId="0" applyFont="1" applyBorder="1" applyProtection="1">
      <protection hidden="1"/>
    </xf>
    <xf numFmtId="0" fontId="20" fillId="0" borderId="27" xfId="0" applyFont="1" applyBorder="1" applyProtection="1">
      <protection hidden="1"/>
    </xf>
    <xf numFmtId="0" fontId="21" fillId="0" borderId="27" xfId="0" applyFont="1" applyFill="1" applyBorder="1" applyAlignment="1" applyProtection="1">
      <alignment horizontal="center"/>
      <protection hidden="1"/>
    </xf>
    <xf numFmtId="171" fontId="21" fillId="0" borderId="27" xfId="0" applyNumberFormat="1" applyFont="1" applyFill="1" applyBorder="1" applyAlignment="1" applyProtection="1">
      <alignment horizontal="center"/>
      <protection hidden="1"/>
    </xf>
    <xf numFmtId="171" fontId="21" fillId="0" borderId="28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171" fontId="21" fillId="0" borderId="18" xfId="0" applyNumberFormat="1" applyFont="1" applyFill="1" applyBorder="1" applyAlignment="1" applyProtection="1">
      <alignment horizont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164" fontId="21" fillId="8" borderId="0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Fill="1" applyBorder="1" applyAlignment="1" applyProtection="1">
      <alignment horizontal="left"/>
      <protection hidden="1"/>
    </xf>
    <xf numFmtId="0" fontId="20" fillId="8" borderId="1" xfId="0" applyFont="1" applyFill="1" applyBorder="1" applyAlignment="1" applyProtection="1">
      <alignment horizontal="left" wrapText="1"/>
      <protection hidden="1"/>
    </xf>
    <xf numFmtId="0" fontId="21" fillId="8" borderId="0" xfId="0" applyFont="1" applyFill="1" applyProtection="1">
      <protection hidden="1"/>
    </xf>
    <xf numFmtId="164" fontId="21" fillId="8" borderId="1" xfId="0" applyNumberFormat="1" applyFont="1" applyFill="1" applyBorder="1" applyProtection="1">
      <protection hidden="1"/>
    </xf>
    <xf numFmtId="0" fontId="21" fillId="8" borderId="0" xfId="0" applyFont="1" applyFill="1" applyBorder="1" applyProtection="1">
      <protection hidden="1"/>
    </xf>
    <xf numFmtId="0" fontId="20" fillId="8" borderId="1" xfId="0" applyFont="1" applyFill="1" applyBorder="1" applyProtection="1">
      <protection hidden="1"/>
    </xf>
    <xf numFmtId="164" fontId="20" fillId="8" borderId="1" xfId="0" applyNumberFormat="1" applyFont="1" applyFill="1" applyBorder="1" applyProtection="1">
      <protection hidden="1"/>
    </xf>
    <xf numFmtId="164" fontId="21" fillId="8" borderId="0" xfId="0" applyNumberFormat="1" applyFont="1" applyFill="1" applyProtection="1">
      <protection hidden="1"/>
    </xf>
    <xf numFmtId="0" fontId="20" fillId="6" borderId="0" xfId="0" applyFont="1" applyFill="1" applyBorder="1" applyAlignment="1" applyProtection="1">
      <alignment horizontal="center"/>
      <protection hidden="1"/>
    </xf>
    <xf numFmtId="0" fontId="21" fillId="6" borderId="0" xfId="0" applyFont="1" applyFill="1" applyBorder="1" applyProtection="1">
      <protection hidden="1"/>
    </xf>
    <xf numFmtId="0" fontId="20" fillId="6" borderId="0" xfId="0" applyFont="1" applyFill="1" applyBorder="1" applyProtection="1">
      <protection hidden="1"/>
    </xf>
    <xf numFmtId="10" fontId="21" fillId="6" borderId="0" xfId="0" applyNumberFormat="1" applyFont="1" applyFill="1" applyBorder="1" applyAlignment="1" applyProtection="1">
      <alignment horizontal="center"/>
      <protection hidden="1"/>
    </xf>
    <xf numFmtId="0" fontId="21" fillId="6" borderId="0" xfId="0" applyFont="1" applyFill="1" applyBorder="1" applyAlignment="1" applyProtection="1">
      <alignment horizontal="left"/>
      <protection hidden="1"/>
    </xf>
    <xf numFmtId="0" fontId="21" fillId="6" borderId="0" xfId="0" applyFont="1" applyFill="1" applyProtection="1">
      <protection hidden="1"/>
    </xf>
    <xf numFmtId="0" fontId="20" fillId="6" borderId="1" xfId="0" applyFont="1" applyFill="1" applyBorder="1" applyAlignment="1" applyProtection="1">
      <alignment horizontal="center" wrapText="1"/>
      <protection hidden="1"/>
    </xf>
    <xf numFmtId="0" fontId="20" fillId="6" borderId="1" xfId="0" applyFont="1" applyFill="1" applyBorder="1" applyAlignment="1" applyProtection="1">
      <alignment horizontal="center"/>
      <protection hidden="1"/>
    </xf>
    <xf numFmtId="0" fontId="21" fillId="6" borderId="1" xfId="0" applyFont="1" applyFill="1" applyBorder="1" applyProtection="1">
      <protection hidden="1"/>
    </xf>
    <xf numFmtId="0" fontId="21" fillId="6" borderId="1" xfId="0" applyFont="1" applyFill="1" applyBorder="1" applyAlignment="1" applyProtection="1">
      <alignment horizontal="center" wrapText="1"/>
      <protection hidden="1"/>
    </xf>
    <xf numFmtId="0" fontId="21" fillId="6" borderId="1" xfId="0" applyFont="1" applyFill="1" applyBorder="1" applyAlignment="1" applyProtection="1">
      <alignment horizontal="center"/>
      <protection hidden="1"/>
    </xf>
    <xf numFmtId="164" fontId="21" fillId="6" borderId="1" xfId="0" applyNumberFormat="1" applyFont="1" applyFill="1" applyBorder="1" applyAlignment="1" applyProtection="1">
      <alignment horizontal="center"/>
      <protection hidden="1"/>
    </xf>
    <xf numFmtId="0" fontId="21" fillId="6" borderId="1" xfId="0" applyFont="1" applyFill="1" applyBorder="1" applyAlignment="1" applyProtection="1">
      <alignment wrapText="1"/>
      <protection hidden="1"/>
    </xf>
    <xf numFmtId="0" fontId="20" fillId="6" borderId="0" xfId="0" applyFont="1" applyFill="1" applyBorder="1" applyAlignment="1" applyProtection="1">
      <alignment horizontal="left"/>
      <protection hidden="1"/>
    </xf>
    <xf numFmtId="0" fontId="21" fillId="6" borderId="0" xfId="0" applyFont="1" applyFill="1" applyBorder="1" applyAlignment="1" applyProtection="1">
      <alignment horizontal="center"/>
      <protection hidden="1"/>
    </xf>
    <xf numFmtId="164" fontId="21" fillId="6" borderId="0" xfId="0" applyNumberFormat="1" applyFont="1" applyFill="1" applyBorder="1" applyAlignment="1" applyProtection="1">
      <alignment horizontal="center"/>
      <protection hidden="1"/>
    </xf>
    <xf numFmtId="8" fontId="21" fillId="6" borderId="0" xfId="0" applyNumberFormat="1" applyFont="1" applyFill="1" applyBorder="1" applyProtection="1"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20" fillId="6" borderId="0" xfId="0" applyFont="1" applyFill="1" applyAlignment="1" applyProtection="1">
      <alignment horizontal="center"/>
      <protection hidden="1"/>
    </xf>
    <xf numFmtId="8" fontId="20" fillId="6" borderId="0" xfId="0" applyNumberFormat="1" applyFont="1" applyFill="1" applyBorder="1" applyAlignment="1" applyProtection="1">
      <alignment horizontal="center"/>
      <protection hidden="1"/>
    </xf>
    <xf numFmtId="0" fontId="21" fillId="6" borderId="1" xfId="0" applyFont="1" applyFill="1" applyBorder="1" applyAlignment="1" applyProtection="1">
      <alignment horizontal="left"/>
      <protection hidden="1"/>
    </xf>
    <xf numFmtId="0" fontId="20" fillId="9" borderId="0" xfId="0" applyFont="1" applyFill="1" applyBorder="1" applyAlignment="1" applyProtection="1">
      <alignment horizontal="center"/>
      <protection hidden="1"/>
    </xf>
    <xf numFmtId="0" fontId="21" fillId="9" borderId="0" xfId="0" applyFont="1" applyFill="1" applyBorder="1" applyProtection="1">
      <protection hidden="1"/>
    </xf>
    <xf numFmtId="0" fontId="20" fillId="9" borderId="0" xfId="0" applyFont="1" applyFill="1" applyBorder="1" applyProtection="1">
      <protection hidden="1"/>
    </xf>
    <xf numFmtId="10" fontId="21" fillId="9" borderId="0" xfId="0" applyNumberFormat="1" applyFont="1" applyFill="1" applyBorder="1" applyAlignment="1" applyProtection="1">
      <alignment horizontal="center"/>
      <protection hidden="1"/>
    </xf>
    <xf numFmtId="0" fontId="21" fillId="9" borderId="0" xfId="0" applyFont="1" applyFill="1" applyBorder="1" applyAlignment="1" applyProtection="1">
      <alignment horizontal="left"/>
      <protection hidden="1"/>
    </xf>
    <xf numFmtId="0" fontId="21" fillId="9" borderId="0" xfId="0" applyFont="1" applyFill="1" applyProtection="1">
      <protection hidden="1"/>
    </xf>
    <xf numFmtId="0" fontId="20" fillId="9" borderId="1" xfId="0" applyFont="1" applyFill="1" applyBorder="1" applyAlignment="1" applyProtection="1">
      <alignment horizontal="center" wrapText="1"/>
      <protection hidden="1"/>
    </xf>
    <xf numFmtId="0" fontId="20" fillId="9" borderId="1" xfId="0" applyFont="1" applyFill="1" applyBorder="1" applyAlignment="1" applyProtection="1">
      <alignment horizontal="center"/>
      <protection hidden="1"/>
    </xf>
    <xf numFmtId="0" fontId="21" fillId="9" borderId="1" xfId="0" applyFont="1" applyFill="1" applyBorder="1" applyProtection="1">
      <protection hidden="1"/>
    </xf>
    <xf numFmtId="0" fontId="21" fillId="9" borderId="1" xfId="0" applyFont="1" applyFill="1" applyBorder="1" applyAlignment="1" applyProtection="1">
      <alignment horizontal="center" wrapText="1"/>
      <protection hidden="1"/>
    </xf>
    <xf numFmtId="0" fontId="21" fillId="9" borderId="1" xfId="0" applyFont="1" applyFill="1" applyBorder="1" applyAlignment="1" applyProtection="1">
      <alignment horizontal="center"/>
      <protection hidden="1"/>
    </xf>
    <xf numFmtId="164" fontId="21" fillId="9" borderId="1" xfId="0" applyNumberFormat="1" applyFont="1" applyFill="1" applyBorder="1" applyAlignment="1" applyProtection="1">
      <alignment horizontal="center"/>
      <protection hidden="1"/>
    </xf>
    <xf numFmtId="0" fontId="21" fillId="9" borderId="1" xfId="0" applyFont="1" applyFill="1" applyBorder="1" applyAlignment="1" applyProtection="1">
      <alignment wrapText="1"/>
      <protection hidden="1"/>
    </xf>
    <xf numFmtId="0" fontId="20" fillId="9" borderId="0" xfId="0" applyFont="1" applyFill="1" applyBorder="1" applyAlignment="1" applyProtection="1">
      <alignment horizontal="left"/>
      <protection hidden="1"/>
    </xf>
    <xf numFmtId="0" fontId="21" fillId="9" borderId="0" xfId="0" applyFont="1" applyFill="1" applyBorder="1" applyAlignment="1" applyProtection="1">
      <alignment horizontal="center"/>
      <protection hidden="1"/>
    </xf>
    <xf numFmtId="164" fontId="21" fillId="9" borderId="0" xfId="0" applyNumberFormat="1" applyFont="1" applyFill="1" applyBorder="1" applyAlignment="1" applyProtection="1">
      <alignment horizontal="center"/>
      <protection hidden="1"/>
    </xf>
    <xf numFmtId="8" fontId="21" fillId="9" borderId="0" xfId="0" applyNumberFormat="1" applyFont="1" applyFill="1" applyBorder="1" applyProtection="1">
      <protection hidden="1"/>
    </xf>
    <xf numFmtId="0" fontId="21" fillId="9" borderId="0" xfId="0" applyFont="1" applyFill="1" applyAlignment="1" applyProtection="1">
      <alignment horizontal="center"/>
      <protection hidden="1"/>
    </xf>
    <xf numFmtId="0" fontId="20" fillId="9" borderId="0" xfId="0" applyFont="1" applyFill="1" applyAlignment="1" applyProtection="1">
      <alignment horizontal="center"/>
      <protection hidden="1"/>
    </xf>
    <xf numFmtId="8" fontId="20" fillId="9" borderId="0" xfId="0" applyNumberFormat="1" applyFont="1" applyFill="1" applyBorder="1" applyAlignment="1" applyProtection="1">
      <alignment horizontal="center"/>
      <protection hidden="1"/>
    </xf>
    <xf numFmtId="0" fontId="36" fillId="0" borderId="12" xfId="0" applyFont="1" applyFill="1" applyBorder="1" applyProtection="1">
      <protection hidden="1"/>
    </xf>
    <xf numFmtId="0" fontId="36" fillId="0" borderId="0" xfId="0" applyFont="1" applyFill="1" applyBorder="1" applyAlignment="1" applyProtection="1">
      <alignment horizontal="left"/>
      <protection hidden="1"/>
    </xf>
    <xf numFmtId="0" fontId="37" fillId="0" borderId="0" xfId="0" applyFont="1" applyFill="1" applyBorder="1" applyAlignment="1" applyProtection="1">
      <alignment horizontal="left"/>
      <protection hidden="1"/>
    </xf>
    <xf numFmtId="0" fontId="20" fillId="8" borderId="0" xfId="0" applyFont="1" applyFill="1" applyProtection="1">
      <protection hidden="1"/>
    </xf>
    <xf numFmtId="0" fontId="20" fillId="0" borderId="32" xfId="0" applyFont="1" applyFill="1" applyBorder="1" applyAlignment="1" applyProtection="1">
      <alignment horizontal="center"/>
      <protection hidden="1"/>
    </xf>
    <xf numFmtId="0" fontId="21" fillId="0" borderId="33" xfId="0" applyFont="1" applyFill="1" applyBorder="1" applyAlignment="1" applyProtection="1">
      <alignment horizontal="center"/>
      <protection hidden="1"/>
    </xf>
    <xf numFmtId="0" fontId="21" fillId="0" borderId="2" xfId="0" applyFont="1" applyFill="1" applyBorder="1" applyAlignment="1" applyProtection="1">
      <alignment horizontal="center"/>
      <protection hidden="1"/>
    </xf>
    <xf numFmtId="0" fontId="21" fillId="0" borderId="34" xfId="0" applyFont="1" applyFill="1" applyBorder="1" applyAlignment="1" applyProtection="1">
      <alignment horizontal="center"/>
      <protection hidden="1"/>
    </xf>
    <xf numFmtId="171" fontId="21" fillId="0" borderId="19" xfId="0" applyNumberFormat="1" applyFont="1" applyFill="1" applyBorder="1" applyAlignment="1" applyProtection="1">
      <alignment horizontal="center"/>
      <protection hidden="1"/>
    </xf>
    <xf numFmtId="171" fontId="21" fillId="0" borderId="21" xfId="0" applyNumberFormat="1" applyFont="1" applyFill="1" applyBorder="1" applyAlignment="1" applyProtection="1">
      <alignment horizontal="center"/>
      <protection hidden="1"/>
    </xf>
    <xf numFmtId="0" fontId="20" fillId="0" borderId="35" xfId="0" applyFont="1" applyFill="1" applyBorder="1" applyAlignment="1" applyProtection="1">
      <alignment horizontal="center" wrapText="1"/>
      <protection hidden="1"/>
    </xf>
    <xf numFmtId="0" fontId="20" fillId="0" borderId="36" xfId="0" applyFont="1" applyFill="1" applyBorder="1" applyAlignment="1" applyProtection="1">
      <alignment horizontal="center" wrapText="1"/>
      <protection hidden="1"/>
    </xf>
    <xf numFmtId="0" fontId="20" fillId="0" borderId="37" xfId="0" applyFont="1" applyFill="1" applyBorder="1" applyAlignment="1" applyProtection="1">
      <alignment horizontal="center" wrapText="1"/>
      <protection hidden="1"/>
    </xf>
    <xf numFmtId="171" fontId="21" fillId="0" borderId="29" xfId="0" applyNumberFormat="1" applyFont="1" applyFill="1" applyBorder="1" applyAlignment="1" applyProtection="1">
      <alignment horizontal="center"/>
      <protection hidden="1"/>
    </xf>
    <xf numFmtId="171" fontId="20" fillId="0" borderId="30" xfId="0" applyNumberFormat="1" applyFont="1" applyFill="1" applyBorder="1" applyAlignment="1" applyProtection="1">
      <alignment horizontal="center" wrapText="1"/>
      <protection hidden="1"/>
    </xf>
    <xf numFmtId="171" fontId="20" fillId="0" borderId="31" xfId="0" applyNumberFormat="1" applyFont="1" applyFill="1" applyBorder="1" applyAlignment="1" applyProtection="1">
      <alignment horizontal="center" wrapText="1"/>
      <protection hidden="1"/>
    </xf>
    <xf numFmtId="164" fontId="21" fillId="0" borderId="0" xfId="0" applyNumberFormat="1" applyFont="1" applyFill="1" applyAlignment="1" applyProtection="1">
      <alignment horizontal="left"/>
      <protection hidden="1"/>
    </xf>
    <xf numFmtId="164" fontId="20" fillId="0" borderId="0" xfId="0" applyNumberFormat="1" applyFont="1" applyFill="1" applyProtection="1">
      <protection hidden="1"/>
    </xf>
    <xf numFmtId="172" fontId="21" fillId="0" borderId="0" xfId="1" applyNumberFormat="1" applyFont="1" applyFill="1" applyProtection="1">
      <protection hidden="1"/>
    </xf>
    <xf numFmtId="0" fontId="21" fillId="6" borderId="12" xfId="0" applyFont="1" applyFill="1" applyBorder="1" applyProtection="1">
      <protection hidden="1"/>
    </xf>
    <xf numFmtId="164" fontId="21" fillId="6" borderId="1" xfId="0" applyNumberFormat="1" applyFont="1" applyFill="1" applyBorder="1" applyProtection="1">
      <protection hidden="1"/>
    </xf>
    <xf numFmtId="164" fontId="21" fillId="9" borderId="1" xfId="0" applyNumberFormat="1" applyFont="1" applyFill="1" applyBorder="1" applyProtection="1">
      <protection hidden="1"/>
    </xf>
    <xf numFmtId="0" fontId="20" fillId="6" borderId="12" xfId="0" applyFont="1" applyFill="1" applyBorder="1" applyProtection="1">
      <protection hidden="1"/>
    </xf>
    <xf numFmtId="0" fontId="20" fillId="6" borderId="12" xfId="0" applyFont="1" applyFill="1" applyBorder="1" applyAlignment="1" applyProtection="1">
      <alignment horizontal="center"/>
      <protection hidden="1"/>
    </xf>
    <xf numFmtId="0" fontId="20" fillId="6" borderId="12" xfId="0" applyFont="1" applyFill="1" applyBorder="1" applyAlignment="1" applyProtection="1">
      <alignment horizontal="left"/>
      <protection hidden="1"/>
    </xf>
    <xf numFmtId="0" fontId="21" fillId="9" borderId="1" xfId="0" applyFont="1" applyFill="1" applyBorder="1" applyAlignment="1" applyProtection="1">
      <alignment horizontal="left"/>
      <protection hidden="1"/>
    </xf>
    <xf numFmtId="44" fontId="14" fillId="0" borderId="0" xfId="1" applyFont="1" applyFill="1" applyAlignment="1" applyProtection="1">
      <protection hidden="1"/>
    </xf>
    <xf numFmtId="44" fontId="12" fillId="0" borderId="0" xfId="1" applyFont="1" applyFill="1" applyAlignment="1" applyProtection="1">
      <protection hidden="1"/>
    </xf>
    <xf numFmtId="44" fontId="21" fillId="0" borderId="0" xfId="1" applyFont="1" applyFill="1" applyAlignment="1" applyProtection="1">
      <protection hidden="1"/>
    </xf>
    <xf numFmtId="0" fontId="21" fillId="0" borderId="0" xfId="0" applyFont="1" applyFill="1" applyAlignment="1" applyProtection="1">
      <alignment horizontal="center"/>
      <protection hidden="1"/>
    </xf>
    <xf numFmtId="0" fontId="21" fillId="0" borderId="0" xfId="0" applyFont="1" applyFill="1" applyAlignment="1" applyProtection="1">
      <alignment horizontal="left" wrapText="1"/>
      <protection hidden="1"/>
    </xf>
    <xf numFmtId="0" fontId="20" fillId="0" borderId="3" xfId="0" applyFont="1" applyFill="1" applyBorder="1" applyAlignment="1" applyProtection="1">
      <alignment horizontal="center"/>
      <protection hidden="1"/>
    </xf>
    <xf numFmtId="0" fontId="20" fillId="0" borderId="25" xfId="0" applyFont="1" applyFill="1" applyBorder="1" applyAlignment="1" applyProtection="1">
      <alignment horizontal="left"/>
      <protection hidden="1"/>
    </xf>
    <xf numFmtId="0" fontId="21" fillId="0" borderId="3" xfId="0" applyFont="1" applyFill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/>
      <protection hidden="1"/>
    </xf>
    <xf numFmtId="0" fontId="20" fillId="0" borderId="10" xfId="0" applyFont="1" applyFill="1" applyBorder="1" applyAlignment="1" applyProtection="1">
      <alignment horizontal="center"/>
      <protection hidden="1"/>
    </xf>
    <xf numFmtId="0" fontId="20" fillId="0" borderId="11" xfId="0" applyFont="1" applyFill="1" applyBorder="1" applyAlignment="1" applyProtection="1">
      <alignment horizontal="center"/>
      <protection hidden="1"/>
    </xf>
    <xf numFmtId="0" fontId="20" fillId="0" borderId="1" xfId="0" applyFont="1" applyFill="1" applyBorder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left"/>
      <protection hidden="1"/>
    </xf>
    <xf numFmtId="0" fontId="20" fillId="8" borderId="1" xfId="0" applyFont="1" applyFill="1" applyBorder="1" applyAlignment="1" applyProtection="1">
      <alignment horizontal="center"/>
      <protection hidden="1"/>
    </xf>
    <xf numFmtId="0" fontId="38" fillId="0" borderId="0" xfId="0" applyFont="1" applyFill="1" applyBorder="1" applyAlignment="1" applyProtection="1">
      <alignment horizontal="left"/>
      <protection hidden="1"/>
    </xf>
    <xf numFmtId="0" fontId="20" fillId="9" borderId="2" xfId="0" applyFont="1" applyFill="1" applyBorder="1" applyAlignment="1" applyProtection="1">
      <alignment horizontal="center"/>
      <protection hidden="1"/>
    </xf>
    <xf numFmtId="0" fontId="20" fillId="9" borderId="11" xfId="0" applyFont="1" applyFill="1" applyBorder="1" applyAlignment="1" applyProtection="1">
      <alignment horizontal="center"/>
      <protection hidden="1"/>
    </xf>
    <xf numFmtId="0" fontId="20" fillId="0" borderId="14" xfId="0" applyFont="1" applyFill="1" applyBorder="1" applyAlignment="1" applyProtection="1">
      <alignment horizontal="center"/>
      <protection hidden="1"/>
    </xf>
    <xf numFmtId="0" fontId="20" fillId="0" borderId="15" xfId="0" applyFont="1" applyFill="1" applyBorder="1" applyAlignment="1" applyProtection="1">
      <alignment horizontal="center"/>
      <protection hidden="1"/>
    </xf>
    <xf numFmtId="0" fontId="20" fillId="0" borderId="16" xfId="0" applyFont="1" applyFill="1" applyBorder="1" applyAlignment="1" applyProtection="1">
      <alignment horizontal="center"/>
      <protection hidden="1"/>
    </xf>
    <xf numFmtId="0" fontId="20" fillId="6" borderId="4" xfId="0" applyFont="1" applyFill="1" applyBorder="1" applyAlignment="1" applyProtection="1">
      <alignment horizontal="center"/>
      <protection hidden="1"/>
    </xf>
    <xf numFmtId="0" fontId="20" fillId="6" borderId="5" xfId="0" applyFont="1" applyFill="1" applyBorder="1" applyAlignment="1" applyProtection="1">
      <alignment horizontal="center"/>
      <protection hidden="1"/>
    </xf>
    <xf numFmtId="44" fontId="2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</cellXfs>
  <cellStyles count="9">
    <cellStyle name="Comma" xfId="7" builtinId="3"/>
    <cellStyle name="Currency" xfId="1" builtinId="4"/>
    <cellStyle name="Currency 2" xfId="2" xr:uid="{00000000-0005-0000-0000-000001000000}"/>
    <cellStyle name="Currency 3" xfId="6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6EAF16E8-37B0-43B5-B352-640A877747EE}"/>
  </cellStyles>
  <dxfs count="2">
    <dxf>
      <fill>
        <patternFill patternType="solid">
          <bgColor theme="6"/>
        </patternFill>
      </fill>
    </dxf>
    <dxf>
      <fill>
        <patternFill patternType="solid">
          <bgColor rgb="FFFFC000"/>
        </patternFill>
      </fill>
    </dxf>
  </dxfs>
  <tableStyles count="1" defaultTableStyle="TableStyleMedium2" defaultPivotStyle="PivotStyleLight16">
    <tableStyle name="Invisible" pivot="0" table="0" count="0" xr9:uid="{BCDA5235-C189-474B-8101-629E6FF4FD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lmspk0\AppData\Local\Microsoft\Windows\Temporary%20Internet%20Files\Content.Outlook\YNR9Y8DJ\2007%20Salary%20Schedu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ober 15 2006"/>
      <sheetName val="January 1, 2007"/>
      <sheetName val="Sept 9, 2007"/>
    </sheetNames>
    <sheetDataSet>
      <sheetData sheetId="0"/>
      <sheetData sheetId="1">
        <row r="6">
          <cell r="H6">
            <v>1594</v>
          </cell>
          <cell r="I6">
            <v>1704</v>
          </cell>
          <cell r="J6">
            <v>1823</v>
          </cell>
          <cell r="K6">
            <v>1950</v>
          </cell>
          <cell r="L6">
            <v>2085</v>
          </cell>
          <cell r="M6">
            <v>2213.5174053999999</v>
          </cell>
        </row>
        <row r="7">
          <cell r="H7">
            <v>1594</v>
          </cell>
          <cell r="I7">
            <v>1704</v>
          </cell>
          <cell r="J7">
            <v>1823</v>
          </cell>
          <cell r="K7">
            <v>1950</v>
          </cell>
          <cell r="L7">
            <v>2085</v>
          </cell>
          <cell r="M7">
            <v>2213.5174053999999</v>
          </cell>
        </row>
        <row r="8">
          <cell r="H8">
            <v>1594</v>
          </cell>
          <cell r="I8">
            <v>1704</v>
          </cell>
          <cell r="J8">
            <v>1823</v>
          </cell>
          <cell r="K8">
            <v>1950</v>
          </cell>
          <cell r="L8">
            <v>2085</v>
          </cell>
          <cell r="M8">
            <v>2213.5174053999999</v>
          </cell>
        </row>
        <row r="9">
          <cell r="H9">
            <v>2256</v>
          </cell>
          <cell r="I9">
            <v>2346</v>
          </cell>
          <cell r="J9">
            <v>2490.7185222499998</v>
          </cell>
        </row>
        <row r="10">
          <cell r="H10">
            <v>2256</v>
          </cell>
          <cell r="I10">
            <v>2346</v>
          </cell>
          <cell r="J10">
            <v>2490.7185222499998</v>
          </cell>
        </row>
        <row r="11">
          <cell r="H11">
            <v>2256</v>
          </cell>
          <cell r="I11">
            <v>2346</v>
          </cell>
          <cell r="J11">
            <v>2490.7185222499998</v>
          </cell>
        </row>
        <row r="12">
          <cell r="H12">
            <v>2562</v>
          </cell>
          <cell r="I12">
            <v>2665</v>
          </cell>
          <cell r="J12">
            <v>2830.3154624499998</v>
          </cell>
        </row>
        <row r="13">
          <cell r="H13">
            <v>2562</v>
          </cell>
          <cell r="I13">
            <v>2665</v>
          </cell>
          <cell r="J13">
            <v>2830.3154624499998</v>
          </cell>
        </row>
        <row r="14">
          <cell r="H14">
            <v>2562</v>
          </cell>
          <cell r="I14">
            <v>2665</v>
          </cell>
          <cell r="J14">
            <v>2830.3154624499998</v>
          </cell>
        </row>
        <row r="15">
          <cell r="H15">
            <v>2562</v>
          </cell>
          <cell r="I15">
            <v>2665</v>
          </cell>
          <cell r="J15">
            <v>2830.3154624499998</v>
          </cell>
        </row>
        <row r="16">
          <cell r="H16">
            <v>2562</v>
          </cell>
          <cell r="I16">
            <v>2665</v>
          </cell>
          <cell r="J16">
            <v>2830.3154624499998</v>
          </cell>
        </row>
        <row r="17">
          <cell r="H17">
            <v>2579</v>
          </cell>
          <cell r="I17">
            <v>2623</v>
          </cell>
          <cell r="J17">
            <v>2668</v>
          </cell>
          <cell r="K17">
            <v>2714</v>
          </cell>
          <cell r="L17">
            <v>2760</v>
          </cell>
          <cell r="M17">
            <v>2930.5579327499995</v>
          </cell>
        </row>
        <row r="18">
          <cell r="H18">
            <v>2579</v>
          </cell>
          <cell r="I18">
            <v>2623</v>
          </cell>
          <cell r="J18">
            <v>2668</v>
          </cell>
          <cell r="K18">
            <v>2714</v>
          </cell>
          <cell r="L18">
            <v>2760</v>
          </cell>
          <cell r="M18">
            <v>2930.5579327499995</v>
          </cell>
        </row>
        <row r="21">
          <cell r="C21">
            <v>0.72624646849999996</v>
          </cell>
        </row>
        <row r="22">
          <cell r="C22">
            <v>0.31709352849999994</v>
          </cell>
        </row>
        <row r="34">
          <cell r="A34">
            <v>12.520079963999999</v>
          </cell>
        </row>
        <row r="35">
          <cell r="A35">
            <v>17.757237596</v>
          </cell>
        </row>
        <row r="36">
          <cell r="A36">
            <v>22.994395227999998</v>
          </cell>
        </row>
        <row r="37">
          <cell r="A37">
            <v>28.231552859999997</v>
          </cell>
        </row>
        <row r="38">
          <cell r="A38">
            <v>33.468710492</v>
          </cell>
        </row>
        <row r="39">
          <cell r="A39">
            <v>101.15283559149999</v>
          </cell>
        </row>
        <row r="40">
          <cell r="A40">
            <v>106.8400614575</v>
          </cell>
        </row>
        <row r="41">
          <cell r="A41">
            <v>112.5170585</v>
          </cell>
        </row>
        <row r="42">
          <cell r="A42">
            <v>147.17231251799998</v>
          </cell>
        </row>
        <row r="43">
          <cell r="A43">
            <v>152.84930956049999</v>
          </cell>
        </row>
        <row r="44">
          <cell r="A44">
            <v>158.5365354265</v>
          </cell>
        </row>
        <row r="45">
          <cell r="A45">
            <v>164.2237612925</v>
          </cell>
        </row>
        <row r="46">
          <cell r="A46">
            <v>180.34438712849999</v>
          </cell>
        </row>
        <row r="47">
          <cell r="A47">
            <v>226.57866934849997</v>
          </cell>
        </row>
        <row r="48">
          <cell r="A48">
            <v>232.26589521449998</v>
          </cell>
        </row>
        <row r="49">
          <cell r="A49">
            <v>237.95312108049998</v>
          </cell>
        </row>
        <row r="50">
          <cell r="A50">
            <v>243.64034694649999</v>
          </cell>
        </row>
        <row r="51">
          <cell r="A51">
            <v>249.32757281249999</v>
          </cell>
        </row>
        <row r="52">
          <cell r="A52">
            <v>272.3833409815</v>
          </cell>
        </row>
      </sheetData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ller, Brenda " refreshedDate="43836.543494907404" createdVersion="6" refreshedVersion="6" minRefreshableVersion="3" recordCount="82" xr:uid="{6761D0D1-805F-4303-9DF2-1C14D7722333}">
  <cacheSource type="worksheet">
    <worksheetSource ref="A2:F84" sheet="sheet1"/>
  </cacheSource>
  <cacheFields count="6">
    <cacheField name="Rate Code" numFmtId="0">
      <sharedItems count="4">
        <s v="LNGCFF"/>
        <s v="LNGCFG"/>
        <s v="LNGCFH"/>
        <s v="LNGCFI"/>
      </sharedItems>
    </cacheField>
    <cacheField name="Eff Date" numFmtId="14">
      <sharedItems containsSemiMixedTypes="0" containsNonDate="0" containsDate="1" containsString="0" minDate="2019-04-01T00:00:00" maxDate="2019-04-02T00:00:00"/>
    </cacheField>
    <cacheField name="Level" numFmtId="1">
      <sharedItems containsSemiMixedTypes="0" containsString="0" containsNumber="1" containsInteger="1" minValue="1" maxValue="21" count="2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</sharedItems>
    </cacheField>
    <cacheField name="Min Years" numFmtId="1">
      <sharedItems containsSemiMixedTypes="0" containsString="0" containsNumber="1" containsInteger="1" minValue="0" maxValue="25"/>
    </cacheField>
    <cacheField name="Descr" numFmtId="0">
      <sharedItems/>
    </cacheField>
    <cacheField name="Comp Rate" numFmtId="167">
      <sharedItems containsSemiMixedTypes="0" containsString="0" containsNumber="1" minValue="0" maxValue="5.697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x v="0"/>
    <d v="2019-04-01T00:00:00"/>
    <x v="0"/>
    <n v="0"/>
    <s v="Longevity: CFF"/>
    <n v="0"/>
  </r>
  <r>
    <x v="0"/>
    <d v="2019-04-01T00:00:00"/>
    <x v="1"/>
    <n v="6"/>
    <s v="Longevity: CFF"/>
    <n v="0.14899999999999999"/>
  </r>
  <r>
    <x v="0"/>
    <d v="2019-04-01T00:00:00"/>
    <x v="2"/>
    <n v="7"/>
    <s v="Longevity: CFF"/>
    <n v="0.21099999999999999"/>
  </r>
  <r>
    <x v="0"/>
    <d v="2019-04-01T00:00:00"/>
    <x v="3"/>
    <n v="8"/>
    <s v="Longevity: CFF"/>
    <n v="0.27300000000000002"/>
  </r>
  <r>
    <x v="0"/>
    <d v="2019-04-01T00:00:00"/>
    <x v="4"/>
    <n v="9"/>
    <s v="Longevity: CFF"/>
    <n v="0.33500000000000002"/>
  </r>
  <r>
    <x v="0"/>
    <d v="2019-04-01T00:00:00"/>
    <x v="5"/>
    <n v="10"/>
    <s v="Longevity: CFF"/>
    <n v="0.39700000000000002"/>
  </r>
  <r>
    <x v="0"/>
    <d v="2019-04-01T00:00:00"/>
    <x v="6"/>
    <n v="11"/>
    <s v="Longevity: CFF"/>
    <n v="1.2"/>
  </r>
  <r>
    <x v="0"/>
    <d v="2019-04-01T00:00:00"/>
    <x v="7"/>
    <n v="12"/>
    <s v="Longevity: CFF"/>
    <n v="1.268"/>
  </r>
  <r>
    <x v="0"/>
    <d v="2019-04-01T00:00:00"/>
    <x v="8"/>
    <n v="13"/>
    <s v="Longevity: CFF"/>
    <n v="1.335"/>
  </r>
  <r>
    <x v="0"/>
    <d v="2019-04-01T00:00:00"/>
    <x v="9"/>
    <n v="14"/>
    <s v="Longevity: CFF"/>
    <n v="1.746"/>
  </r>
  <r>
    <x v="0"/>
    <d v="2019-04-01T00:00:00"/>
    <x v="10"/>
    <n v="15"/>
    <s v="Longevity: CFF"/>
    <n v="1.8140000000000001"/>
  </r>
  <r>
    <x v="0"/>
    <d v="2019-04-01T00:00:00"/>
    <x v="11"/>
    <n v="16"/>
    <s v="Longevity: CFF"/>
    <n v="1.881"/>
  </r>
  <r>
    <x v="0"/>
    <d v="2019-04-01T00:00:00"/>
    <x v="12"/>
    <n v="17"/>
    <s v="Longevity: CFF"/>
    <n v="1.9490000000000001"/>
  </r>
  <r>
    <x v="0"/>
    <d v="2019-04-01T00:00:00"/>
    <x v="13"/>
    <n v="18"/>
    <s v="Longevity: CFF"/>
    <n v="2.14"/>
  </r>
  <r>
    <x v="0"/>
    <d v="2019-04-01T00:00:00"/>
    <x v="14"/>
    <n v="19"/>
    <s v="Longevity: CFF"/>
    <n v="2.6890000000000001"/>
  </r>
  <r>
    <x v="0"/>
    <d v="2019-04-01T00:00:00"/>
    <x v="15"/>
    <n v="20"/>
    <s v="Longevity: CFF"/>
    <n v="2.7559999999999998"/>
  </r>
  <r>
    <x v="0"/>
    <d v="2019-04-01T00:00:00"/>
    <x v="16"/>
    <n v="21"/>
    <s v="Longevity: CFF"/>
    <n v="2.8239999999999998"/>
  </r>
  <r>
    <x v="0"/>
    <d v="2019-04-01T00:00:00"/>
    <x v="17"/>
    <n v="22"/>
    <s v="Longevity: CFF"/>
    <n v="2.891"/>
  </r>
  <r>
    <x v="0"/>
    <d v="2019-04-01T00:00:00"/>
    <x v="18"/>
    <n v="23"/>
    <s v="Longevity: CFF"/>
    <n v="2.9590000000000001"/>
  </r>
  <r>
    <x v="0"/>
    <d v="2019-04-01T00:00:00"/>
    <x v="19"/>
    <n v="24"/>
    <s v="Longevity: CFF"/>
    <n v="3.2320000000000002"/>
  </r>
  <r>
    <x v="1"/>
    <d v="2019-04-01T00:00:00"/>
    <x v="0"/>
    <n v="0"/>
    <s v="Longevity: CFG"/>
    <n v="0"/>
  </r>
  <r>
    <x v="1"/>
    <d v="2019-04-01T00:00:00"/>
    <x v="1"/>
    <n v="6"/>
    <s v="Longevity: CFG"/>
    <n v="0.20300000000000001"/>
  </r>
  <r>
    <x v="1"/>
    <d v="2019-04-01T00:00:00"/>
    <x v="2"/>
    <n v="7"/>
    <s v="Longevity: CFG"/>
    <n v="0.28799999999999998"/>
  </r>
  <r>
    <x v="1"/>
    <d v="2019-04-01T00:00:00"/>
    <x v="3"/>
    <n v="8"/>
    <s v="Longevity: CFG"/>
    <n v="0.372"/>
  </r>
  <r>
    <x v="1"/>
    <d v="2019-04-01T00:00:00"/>
    <x v="4"/>
    <n v="9"/>
    <s v="Longevity: CFG"/>
    <n v="0.45700000000000002"/>
  </r>
  <r>
    <x v="1"/>
    <d v="2019-04-01T00:00:00"/>
    <x v="5"/>
    <n v="10"/>
    <s v="Longevity: CFG"/>
    <n v="0.54200000000000004"/>
  </r>
  <r>
    <x v="1"/>
    <d v="2019-04-01T00:00:00"/>
    <x v="6"/>
    <n v="11"/>
    <s v="Longevity: CFG"/>
    <n v="1.639"/>
  </r>
  <r>
    <x v="1"/>
    <d v="2019-04-01T00:00:00"/>
    <x v="7"/>
    <n v="12"/>
    <s v="Longevity: CFG"/>
    <n v="1.7310000000000001"/>
  </r>
  <r>
    <x v="1"/>
    <d v="2019-04-01T00:00:00"/>
    <x v="8"/>
    <n v="13"/>
    <s v="Longevity: CFG"/>
    <n v="1.823"/>
  </r>
  <r>
    <x v="1"/>
    <d v="2019-04-01T00:00:00"/>
    <x v="9"/>
    <n v="14"/>
    <s v="Longevity: CFG"/>
    <n v="2.3839999999999999"/>
  </r>
  <r>
    <x v="1"/>
    <d v="2019-04-01T00:00:00"/>
    <x v="10"/>
    <n v="15"/>
    <s v="Longevity: CFG"/>
    <n v="2.476"/>
  </r>
  <r>
    <x v="1"/>
    <d v="2019-04-01T00:00:00"/>
    <x v="11"/>
    <n v="16"/>
    <s v="Longevity: CFG"/>
    <n v="2.5680000000000001"/>
  </r>
  <r>
    <x v="1"/>
    <d v="2019-04-01T00:00:00"/>
    <x v="12"/>
    <n v="17"/>
    <s v="Longevity: CFG"/>
    <n v="2.66"/>
  </r>
  <r>
    <x v="1"/>
    <d v="2019-04-01T00:00:00"/>
    <x v="13"/>
    <n v="18"/>
    <s v="Longevity: CFG"/>
    <n v="2.9209999999999998"/>
  </r>
  <r>
    <x v="1"/>
    <d v="2019-04-01T00:00:00"/>
    <x v="14"/>
    <n v="19"/>
    <s v="Longevity: CFG"/>
    <n v="3.67"/>
  </r>
  <r>
    <x v="1"/>
    <d v="2019-04-01T00:00:00"/>
    <x v="15"/>
    <n v="20"/>
    <s v="Longevity: CFG"/>
    <n v="3.762"/>
  </r>
  <r>
    <x v="1"/>
    <d v="2019-04-01T00:00:00"/>
    <x v="16"/>
    <n v="21"/>
    <s v="Longevity: CFG"/>
    <n v="3.8540000000000001"/>
  </r>
  <r>
    <x v="1"/>
    <d v="2019-04-01T00:00:00"/>
    <x v="17"/>
    <n v="22"/>
    <s v="Longevity: CFG"/>
    <n v="3.9470000000000001"/>
  </r>
  <r>
    <x v="1"/>
    <d v="2019-04-01T00:00:00"/>
    <x v="18"/>
    <n v="23"/>
    <s v="Longevity: CFG"/>
    <n v="4.0389999999999997"/>
  </r>
  <r>
    <x v="1"/>
    <d v="2019-04-01T00:00:00"/>
    <x v="19"/>
    <n v="24"/>
    <s v="Longevity: CFG"/>
    <n v="4.4119999999999999"/>
  </r>
  <r>
    <x v="2"/>
    <d v="2019-04-01T00:00:00"/>
    <x v="0"/>
    <n v="0"/>
    <s v="Longevity: CFH"/>
    <n v="0"/>
  </r>
  <r>
    <x v="2"/>
    <d v="2019-04-01T00:00:00"/>
    <x v="1"/>
    <n v="6"/>
    <s v="Longevity: CFH"/>
    <n v="0.14899999999999999"/>
  </r>
  <r>
    <x v="2"/>
    <d v="2019-04-01T00:00:00"/>
    <x v="2"/>
    <n v="7"/>
    <s v="Longevity: CFH"/>
    <n v="0.21099999999999999"/>
  </r>
  <r>
    <x v="2"/>
    <d v="2019-04-01T00:00:00"/>
    <x v="3"/>
    <n v="8"/>
    <s v="Longevity: CFH"/>
    <n v="0.27300000000000002"/>
  </r>
  <r>
    <x v="2"/>
    <d v="2019-04-01T00:00:00"/>
    <x v="4"/>
    <n v="9"/>
    <s v="Longevity: CFH"/>
    <n v="0.33500000000000002"/>
  </r>
  <r>
    <x v="2"/>
    <d v="2019-04-01T00:00:00"/>
    <x v="5"/>
    <n v="10"/>
    <s v="Longevity: CFH"/>
    <n v="0.39700000000000002"/>
  </r>
  <r>
    <x v="2"/>
    <d v="2019-04-01T00:00:00"/>
    <x v="6"/>
    <n v="11"/>
    <s v="Longevity: CFH"/>
    <n v="1.2"/>
  </r>
  <r>
    <x v="2"/>
    <d v="2019-04-01T00:00:00"/>
    <x v="7"/>
    <n v="12"/>
    <s v="Longevity: CFH"/>
    <n v="1.268"/>
  </r>
  <r>
    <x v="2"/>
    <d v="2019-04-01T00:00:00"/>
    <x v="8"/>
    <n v="13"/>
    <s v="Longevity: CFH"/>
    <n v="1.335"/>
  </r>
  <r>
    <x v="2"/>
    <d v="2019-04-01T00:00:00"/>
    <x v="9"/>
    <n v="14"/>
    <s v="Longevity: CFH"/>
    <n v="1.746"/>
  </r>
  <r>
    <x v="2"/>
    <d v="2019-04-01T00:00:00"/>
    <x v="10"/>
    <n v="15"/>
    <s v="Longevity: CFH"/>
    <n v="1.8140000000000001"/>
  </r>
  <r>
    <x v="2"/>
    <d v="2019-04-01T00:00:00"/>
    <x v="11"/>
    <n v="16"/>
    <s v="Longevity: CFH"/>
    <n v="1.881"/>
  </r>
  <r>
    <x v="2"/>
    <d v="2019-04-01T00:00:00"/>
    <x v="12"/>
    <n v="17"/>
    <s v="Longevity: CFH"/>
    <n v="1.9490000000000001"/>
  </r>
  <r>
    <x v="2"/>
    <d v="2019-04-01T00:00:00"/>
    <x v="13"/>
    <n v="18"/>
    <s v="Longevity: CFH"/>
    <n v="2.14"/>
  </r>
  <r>
    <x v="2"/>
    <d v="2019-04-01T00:00:00"/>
    <x v="14"/>
    <n v="19"/>
    <s v="Longevity: CFH"/>
    <n v="2.6890000000000001"/>
  </r>
  <r>
    <x v="2"/>
    <d v="2019-04-01T00:00:00"/>
    <x v="15"/>
    <n v="20"/>
    <s v="Longevity: CFH"/>
    <n v="3.1669999999999998"/>
  </r>
  <r>
    <x v="2"/>
    <d v="2019-04-01T00:00:00"/>
    <x v="16"/>
    <n v="21"/>
    <s v="Longevity: CFH"/>
    <n v="3.2349999999999999"/>
  </r>
  <r>
    <x v="2"/>
    <d v="2019-04-01T00:00:00"/>
    <x v="17"/>
    <n v="22"/>
    <s v="Longevity: CFH"/>
    <n v="3.302"/>
  </r>
  <r>
    <x v="2"/>
    <d v="2019-04-01T00:00:00"/>
    <x v="18"/>
    <n v="23"/>
    <s v="Longevity: CFH"/>
    <n v="3.37"/>
  </r>
  <r>
    <x v="2"/>
    <d v="2019-04-01T00:00:00"/>
    <x v="19"/>
    <n v="24"/>
    <s v="Longevity: CFH"/>
    <n v="3.6429999999999998"/>
  </r>
  <r>
    <x v="2"/>
    <d v="2019-04-01T00:00:00"/>
    <x v="20"/>
    <n v="25"/>
    <s v="Longevity: CFH"/>
    <n v="4.173"/>
  </r>
  <r>
    <x v="3"/>
    <d v="2019-04-01T00:00:00"/>
    <x v="0"/>
    <n v="0"/>
    <s v="Longevity:  CFI"/>
    <n v="0"/>
  </r>
  <r>
    <x v="3"/>
    <d v="2019-04-01T00:00:00"/>
    <x v="1"/>
    <n v="6"/>
    <s v="Longevity:  CFI"/>
    <n v="0.20300000000000001"/>
  </r>
  <r>
    <x v="3"/>
    <d v="2019-04-01T00:00:00"/>
    <x v="2"/>
    <n v="7"/>
    <s v="Longevity:  CFI"/>
    <n v="0.28799999999999998"/>
  </r>
  <r>
    <x v="3"/>
    <d v="2019-04-01T00:00:00"/>
    <x v="3"/>
    <n v="8"/>
    <s v="Longevity:  CFI"/>
    <n v="0.372"/>
  </r>
  <r>
    <x v="3"/>
    <d v="2019-04-01T00:00:00"/>
    <x v="4"/>
    <n v="9"/>
    <s v="Longevity:  CFI"/>
    <n v="0.45700000000000002"/>
  </r>
  <r>
    <x v="3"/>
    <d v="2019-04-01T00:00:00"/>
    <x v="5"/>
    <n v="10"/>
    <s v="Longevity:  CFI"/>
    <n v="0.54200000000000004"/>
  </r>
  <r>
    <x v="3"/>
    <d v="2019-04-01T00:00:00"/>
    <x v="6"/>
    <n v="11"/>
    <s v="Longevity:  CFI"/>
    <n v="1.639"/>
  </r>
  <r>
    <x v="3"/>
    <d v="2019-04-01T00:00:00"/>
    <x v="7"/>
    <n v="12"/>
    <s v="Longevity:  CFI"/>
    <n v="1.7310000000000001"/>
  </r>
  <r>
    <x v="3"/>
    <d v="2019-04-01T00:00:00"/>
    <x v="8"/>
    <n v="13"/>
    <s v="Longevity:  CFI"/>
    <n v="1.823"/>
  </r>
  <r>
    <x v="3"/>
    <d v="2019-04-01T00:00:00"/>
    <x v="9"/>
    <n v="14"/>
    <s v="Longevity:  CFI"/>
    <n v="2.3839999999999999"/>
  </r>
  <r>
    <x v="3"/>
    <d v="2019-04-01T00:00:00"/>
    <x v="10"/>
    <n v="15"/>
    <s v="Longevity:  CFI"/>
    <n v="2.476"/>
  </r>
  <r>
    <x v="3"/>
    <d v="2019-04-01T00:00:00"/>
    <x v="11"/>
    <n v="16"/>
    <s v="Longevity:  CFI"/>
    <n v="2.5680000000000001"/>
  </r>
  <r>
    <x v="3"/>
    <d v="2019-04-01T00:00:00"/>
    <x v="12"/>
    <n v="17"/>
    <s v="Longevity:  CFI"/>
    <n v="2.66"/>
  </r>
  <r>
    <x v="3"/>
    <d v="2019-04-01T00:00:00"/>
    <x v="13"/>
    <n v="18"/>
    <s v="Longevity:  CFI"/>
    <n v="2.9209999999999998"/>
  </r>
  <r>
    <x v="3"/>
    <d v="2019-04-01T00:00:00"/>
    <x v="14"/>
    <n v="19"/>
    <s v="Longevity:  CFI"/>
    <n v="3.67"/>
  </r>
  <r>
    <x v="3"/>
    <d v="2019-04-01T00:00:00"/>
    <x v="15"/>
    <n v="20"/>
    <s v="Longevity:  CFI"/>
    <n v="4.3230000000000004"/>
  </r>
  <r>
    <x v="3"/>
    <d v="2019-04-01T00:00:00"/>
    <x v="16"/>
    <n v="21"/>
    <s v="Longevity:  CFI"/>
    <n v="4.4160000000000004"/>
  </r>
  <r>
    <x v="3"/>
    <d v="2019-04-01T00:00:00"/>
    <x v="17"/>
    <n v="22"/>
    <s v="Longevity:  CFI"/>
    <n v="4.508"/>
  </r>
  <r>
    <x v="3"/>
    <d v="2019-04-01T00:00:00"/>
    <x v="18"/>
    <n v="23"/>
    <s v="Longevity:  CFI"/>
    <n v="4.5999999999999996"/>
  </r>
  <r>
    <x v="3"/>
    <d v="2019-04-01T00:00:00"/>
    <x v="19"/>
    <n v="24"/>
    <s v="Longevity:  CFI"/>
    <n v="4.9729999999999999"/>
  </r>
  <r>
    <x v="3"/>
    <d v="2019-04-01T00:00:00"/>
    <x v="20"/>
    <n v="25"/>
    <s v="Longevity:  CFI"/>
    <n v="5.6970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4051A9-433F-4C5A-9C6C-4D4C71A52204}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3:V8" firstHeaderRow="1" firstDataRow="2" firstDataCol="1"/>
  <pivotFields count="6">
    <pivotField axis="axisRow" showAll="0">
      <items count="5">
        <item x="0"/>
        <item x="2"/>
        <item x="1"/>
        <item x="3"/>
        <item t="default"/>
      </items>
    </pivotField>
    <pivotField numFmtId="14" showAll="0"/>
    <pivotField axis="axisCol" numFmtId="1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numFmtId="1" showAll="0"/>
    <pivotField showAll="0"/>
    <pivotField dataField="1" numFmtId="167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2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</colItems>
  <dataFields count="1">
    <dataField name="Average of Comp Rate" fld="5" subtotal="average" baseField="0" baseItem="0"/>
  </dataFields>
  <formats count="2">
    <format dxfId="1">
      <pivotArea collapsedLevelsAreSubtotals="1" fieldPosition="0">
        <references count="2">
          <reference field="0" count="2">
            <x v="0"/>
            <x v="1"/>
          </reference>
          <reference field="2" count="6" selected="0">
            <x v="15"/>
            <x v="16"/>
            <x v="17"/>
            <x v="18"/>
            <x v="19"/>
            <x v="20"/>
          </reference>
        </references>
      </pivotArea>
    </format>
    <format dxfId="0">
      <pivotArea collapsedLevelsAreSubtotals="1" fieldPosition="0">
        <references count="2">
          <reference field="0" count="2">
            <x v="2"/>
            <x v="3"/>
          </reference>
          <reference field="2" count="6" selected="0">
            <x v="15"/>
            <x v="16"/>
            <x v="17"/>
            <x v="18"/>
            <x v="19"/>
            <x v="2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R106"/>
  <sheetViews>
    <sheetView workbookViewId="0">
      <selection activeCell="B10" sqref="B10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14062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8.42578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76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6" t="s">
        <v>18</v>
      </c>
      <c r="H6" s="6">
        <f>'[1]January 1, 2007'!H6*1.03</f>
        <v>1641.82</v>
      </c>
      <c r="I6" s="6">
        <f>'[1]January 1, 2007'!I6*1.03</f>
        <v>1755.1200000000001</v>
      </c>
      <c r="J6" s="6">
        <f>'[1]January 1, 2007'!J6*1.03</f>
        <v>1877.69</v>
      </c>
      <c r="K6" s="6">
        <f>'[1]January 1, 2007'!K6*1.03</f>
        <v>2008.5</v>
      </c>
      <c r="L6" s="6">
        <f>'[1]January 1, 2007'!L6*1.03</f>
        <v>2147.5500000000002</v>
      </c>
      <c r="M6" s="6">
        <f>'[1]January 1, 2007'!M6*1.03</f>
        <v>2279.922927562</v>
      </c>
    </row>
    <row r="7" spans="1:14">
      <c r="A7" s="6"/>
      <c r="B7" s="6"/>
      <c r="C7" s="6" t="s">
        <v>19</v>
      </c>
      <c r="D7" s="2" t="s">
        <v>20</v>
      </c>
      <c r="E7" s="2">
        <v>353</v>
      </c>
      <c r="F7" s="6" t="s">
        <v>17</v>
      </c>
      <c r="G7" s="6" t="s">
        <v>18</v>
      </c>
      <c r="H7" s="6">
        <f>'[1]January 1, 2007'!H7*1.03</f>
        <v>1641.82</v>
      </c>
      <c r="I7" s="6">
        <f>'[1]January 1, 2007'!I7*1.03</f>
        <v>1755.1200000000001</v>
      </c>
      <c r="J7" s="6">
        <f>'[1]January 1, 2007'!J7*1.03</f>
        <v>1877.69</v>
      </c>
      <c r="K7" s="6">
        <f>'[1]January 1, 2007'!K7*1.03</f>
        <v>2008.5</v>
      </c>
      <c r="L7" s="6">
        <f>'[1]January 1, 2007'!L7*1.03</f>
        <v>2147.5500000000002</v>
      </c>
      <c r="M7" s="6">
        <f>'[1]January 1, 2007'!M7*1.03</f>
        <v>2279.922927562</v>
      </c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6" t="s">
        <v>18</v>
      </c>
      <c r="H8" s="6">
        <f>'[1]January 1, 2007'!H8*1.03</f>
        <v>1641.82</v>
      </c>
      <c r="I8" s="6">
        <f>'[1]January 1, 2007'!I8*1.03</f>
        <v>1755.1200000000001</v>
      </c>
      <c r="J8" s="6">
        <f>'[1]January 1, 2007'!J8*1.03</f>
        <v>1877.69</v>
      </c>
      <c r="K8" s="6">
        <f>'[1]January 1, 2007'!K8*1.03</f>
        <v>2008.5</v>
      </c>
      <c r="L8" s="6">
        <f>'[1]January 1, 2007'!L8*1.03</f>
        <v>2147.5500000000002</v>
      </c>
      <c r="M8" s="6">
        <f>'[1]January 1, 2007'!M8*1.03</f>
        <v>2279.922927562</v>
      </c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6" t="s">
        <v>18</v>
      </c>
      <c r="H9" s="6">
        <f>'[1]January 1, 2007'!H9*1.03</f>
        <v>2323.6799999999998</v>
      </c>
      <c r="I9" s="6">
        <f>'[1]January 1, 2007'!I9*1.03</f>
        <v>2416.38</v>
      </c>
      <c r="J9" s="6">
        <f>'[1]January 1, 2007'!J9*1.03</f>
        <v>2565.4400779174998</v>
      </c>
      <c r="K9" s="6"/>
      <c r="L9" s="6"/>
      <c r="M9" s="6"/>
    </row>
    <row r="10" spans="1:14">
      <c r="A10" s="6" t="s">
        <v>14</v>
      </c>
      <c r="B10" s="6">
        <v>3</v>
      </c>
      <c r="C10" s="6" t="s">
        <v>25</v>
      </c>
      <c r="D10" s="2" t="s">
        <v>26</v>
      </c>
      <c r="F10" s="6" t="s">
        <v>17</v>
      </c>
      <c r="G10" s="6" t="s">
        <v>18</v>
      </c>
      <c r="H10" s="6">
        <f>'[1]January 1, 2007'!H10*1.03</f>
        <v>2323.6799999999998</v>
      </c>
      <c r="I10" s="6">
        <f>'[1]January 1, 2007'!I10*1.03</f>
        <v>2416.38</v>
      </c>
      <c r="J10" s="6">
        <f>'[1]January 1, 2007'!J10*1.03</f>
        <v>2565.4400779174998</v>
      </c>
      <c r="K10" s="6"/>
      <c r="L10" s="6"/>
      <c r="M10" s="6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6" t="s">
        <v>18</v>
      </c>
      <c r="H11" s="6">
        <f>'[1]January 1, 2007'!H11*1.03</f>
        <v>2323.6799999999998</v>
      </c>
      <c r="I11" s="6">
        <f>'[1]January 1, 2007'!I11*1.03</f>
        <v>2416.38</v>
      </c>
      <c r="J11" s="6">
        <f>'[1]January 1, 2007'!J11*1.03</f>
        <v>2565.4400779174998</v>
      </c>
      <c r="K11" s="6"/>
      <c r="L11" s="6"/>
      <c r="M11" s="6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6" t="s">
        <v>18</v>
      </c>
      <c r="H12" s="6">
        <f>'[1]January 1, 2007'!H12*1.03</f>
        <v>2638.86</v>
      </c>
      <c r="I12" s="6">
        <f>'[1]January 1, 2007'!I12*1.03</f>
        <v>2744.9500000000003</v>
      </c>
      <c r="J12" s="6">
        <f>'[1]January 1, 2007'!J12*1.03</f>
        <v>2915.2249263234999</v>
      </c>
      <c r="K12" s="6"/>
      <c r="L12" s="6"/>
      <c r="M12" s="6"/>
    </row>
    <row r="13" spans="1:14">
      <c r="A13" s="6"/>
      <c r="B13" s="6"/>
      <c r="C13" s="6" t="s">
        <v>31</v>
      </c>
      <c r="D13" s="2" t="s">
        <v>32</v>
      </c>
      <c r="F13" s="6" t="s">
        <v>17</v>
      </c>
      <c r="G13" s="6" t="s">
        <v>18</v>
      </c>
      <c r="H13" s="6">
        <f>'[1]January 1, 2007'!H13*1.03</f>
        <v>2638.86</v>
      </c>
      <c r="I13" s="6">
        <f>'[1]January 1, 2007'!I13*1.03</f>
        <v>2744.9500000000003</v>
      </c>
      <c r="J13" s="6">
        <f>'[1]January 1, 2007'!J13*1.03</f>
        <v>2915.2249263234999</v>
      </c>
      <c r="K13" s="6"/>
      <c r="L13" s="6"/>
      <c r="M13" s="6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6" t="s">
        <v>18</v>
      </c>
      <c r="H14" s="6">
        <f>'[1]January 1, 2007'!H14*1.03</f>
        <v>2638.86</v>
      </c>
      <c r="I14" s="6">
        <f>'[1]January 1, 2007'!I14*1.03</f>
        <v>2744.9500000000003</v>
      </c>
      <c r="J14" s="6">
        <f>'[1]January 1, 2007'!J14*1.03</f>
        <v>2915.2249263234999</v>
      </c>
      <c r="K14" s="6"/>
      <c r="L14" s="6"/>
      <c r="M14" s="6"/>
    </row>
    <row r="15" spans="1:14">
      <c r="A15" s="6"/>
      <c r="B15" s="6"/>
      <c r="C15" s="6" t="s">
        <v>35</v>
      </c>
      <c r="D15" s="2" t="s">
        <v>36</v>
      </c>
      <c r="F15" s="6" t="s">
        <v>17</v>
      </c>
      <c r="G15" s="6" t="s">
        <v>18</v>
      </c>
      <c r="H15" s="6">
        <f>'[1]January 1, 2007'!H15*1.03</f>
        <v>2638.86</v>
      </c>
      <c r="I15" s="6">
        <f>'[1]January 1, 2007'!I15*1.03</f>
        <v>2744.9500000000003</v>
      </c>
      <c r="J15" s="6">
        <f>'[1]January 1, 2007'!J15*1.03</f>
        <v>2915.2249263234999</v>
      </c>
      <c r="K15" s="6"/>
      <c r="L15" s="6"/>
      <c r="M15" s="6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6" t="s">
        <v>18</v>
      </c>
      <c r="H16" s="6">
        <f>'[1]January 1, 2007'!H16*1.03</f>
        <v>2638.86</v>
      </c>
      <c r="I16" s="6">
        <f>'[1]January 1, 2007'!I16*1.03</f>
        <v>2744.9500000000003</v>
      </c>
      <c r="J16" s="6">
        <f>'[1]January 1, 2007'!J16*1.03</f>
        <v>2915.2249263234999</v>
      </c>
      <c r="K16" s="6"/>
      <c r="L16" s="6"/>
      <c r="M16" s="6"/>
    </row>
    <row r="17" spans="1:18" ht="12.75" customHeight="1">
      <c r="A17" s="6" t="s">
        <v>14</v>
      </c>
      <c r="B17" s="6">
        <v>3</v>
      </c>
      <c r="C17" s="6" t="s">
        <v>39</v>
      </c>
      <c r="D17" s="7" t="s">
        <v>40</v>
      </c>
      <c r="F17" s="6" t="s">
        <v>17</v>
      </c>
      <c r="G17" s="6" t="s">
        <v>18</v>
      </c>
      <c r="H17" s="6">
        <f>'[1]January 1, 2007'!H17*1.03</f>
        <v>2656.37</v>
      </c>
      <c r="I17" s="6">
        <f>'[1]January 1, 2007'!I17*1.03</f>
        <v>2701.69</v>
      </c>
      <c r="J17" s="6">
        <f>'[1]January 1, 2007'!J17*1.03</f>
        <v>2748.04</v>
      </c>
      <c r="K17" s="6">
        <f>'[1]January 1, 2007'!K17*1.03</f>
        <v>2795.42</v>
      </c>
      <c r="L17" s="6">
        <f>'[1]January 1, 2007'!L17*1.03</f>
        <v>2842.8</v>
      </c>
      <c r="M17" s="6">
        <f>'[1]January 1, 2007'!M17*1.03</f>
        <v>3018.4746707324994</v>
      </c>
    </row>
    <row r="18" spans="1:18">
      <c r="A18" s="1"/>
      <c r="B18" s="1"/>
      <c r="C18" s="8" t="s">
        <v>41</v>
      </c>
      <c r="D18" s="9" t="s">
        <v>42</v>
      </c>
      <c r="E18" s="1"/>
      <c r="F18" s="6" t="s">
        <v>17</v>
      </c>
      <c r="G18" s="6" t="s">
        <v>18</v>
      </c>
      <c r="H18" s="6">
        <f>'[1]January 1, 2007'!H18*1.03</f>
        <v>2656.37</v>
      </c>
      <c r="I18" s="6">
        <f>'[1]January 1, 2007'!I18*1.03</f>
        <v>2701.69</v>
      </c>
      <c r="J18" s="6">
        <f>'[1]January 1, 2007'!J18*1.03</f>
        <v>2748.04</v>
      </c>
      <c r="K18" s="6">
        <f>'[1]January 1, 2007'!K18*1.03</f>
        <v>2795.42</v>
      </c>
      <c r="L18" s="6">
        <f>'[1]January 1, 2007'!L18*1.03</f>
        <v>2842.8</v>
      </c>
      <c r="M18" s="6">
        <f>'[1]January 1, 2007'!M18*1.03</f>
        <v>3018.4746707324994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'[1]January 1, 2007'!C21*1.03</f>
        <v>0.74803386255499993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'[1]January 1, 2007'!C22*1.03</f>
        <v>0.32660633435499997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'[1]January 1, 2007'!A34*1.03</f>
        <v>12.895682362919999</v>
      </c>
      <c r="B33" s="327" t="s">
        <v>54</v>
      </c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R33" s="25"/>
    </row>
    <row r="34" spans="1:18">
      <c r="A34" s="14">
        <f>'[1]January 1, 2007'!A35*1.03</f>
        <v>18.289954723880001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'[1]January 1, 2007'!A36*1.03</f>
        <v>23.68422708484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'[1]January 1, 2007'!A37*1.03</f>
        <v>29.078499445799999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'[1]January 1, 2007'!A38*1.03</f>
        <v>34.472771806760001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'[1]January 1, 2007'!A39*1.03</f>
        <v>104.18742065924499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'[1]January 1, 2007'!A40*1.03</f>
        <v>110.04526330122501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'[1]January 1, 2007'!A41*1.03</f>
        <v>115.89257025500001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'[1]January 1, 2007'!A42*1.03</f>
        <v>151.58748189354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'[1]January 1, 2007'!A43*1.03</f>
        <v>157.43478884731499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'[1]January 1, 2007'!A44*1.03</f>
        <v>163.29263148929499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'[1]January 1, 2007'!A45*1.03</f>
        <v>169.15047413127502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'[1]January 1, 2007'!A46*1.03</f>
        <v>185.75471874235498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'[1]January 1, 2007'!A47*1.03</f>
        <v>233.37602942895498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'[1]January 1, 2007'!A48*1.03</f>
        <v>239.23387207093498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'[1]January 1, 2007'!A49*1.03</f>
        <v>245.09171471291498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'[1]January 1, 2007'!A50*1.03</f>
        <v>250.94955735489501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'[1]January 1, 2007'!A51*1.03</f>
        <v>256.80739999687501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'[1]January 1, 2007'!A52*1.03</f>
        <v>280.55484121094503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>
      <c r="A60" s="1"/>
    </row>
    <row r="61" spans="1:18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>
      <c r="A85" s="1"/>
    </row>
    <row r="86" spans="1:15">
      <c r="A86" s="22"/>
      <c r="B86" s="23"/>
    </row>
    <row r="87" spans="1:15">
      <c r="A87" s="25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</row>
    <row r="88" spans="1:15">
      <c r="A88" s="25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101"/>
  <sheetViews>
    <sheetView workbookViewId="0">
      <selection activeCell="A3" sqref="A3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10" width="6.5703125" style="42" customWidth="1"/>
    <col min="11" max="11" width="6.42578125" style="42" customWidth="1"/>
    <col min="12" max="12" width="6.140625" style="42" customWidth="1"/>
    <col min="13" max="13" width="6.42578125" style="42" customWidth="1"/>
    <col min="14" max="14" width="24" style="42" customWidth="1"/>
    <col min="15" max="15" width="6.5703125" style="42" customWidth="1"/>
    <col min="16" max="16384" width="9.140625" style="42"/>
  </cols>
  <sheetData>
    <row r="1" spans="1:14" ht="18.75">
      <c r="A1" s="55" t="s">
        <v>140</v>
      </c>
      <c r="B1" s="41"/>
      <c r="C1" s="41"/>
      <c r="D1" s="41"/>
      <c r="E1" s="41"/>
      <c r="F1" s="41"/>
      <c r="G1" s="41"/>
      <c r="H1" s="41"/>
    </row>
    <row r="2" spans="1:14">
      <c r="A2" s="43" t="s">
        <v>105</v>
      </c>
      <c r="B2" s="44"/>
      <c r="C2" s="44"/>
      <c r="E2" s="41"/>
      <c r="F2" s="43" t="s">
        <v>80</v>
      </c>
      <c r="G2" s="41"/>
      <c r="H2" s="41"/>
      <c r="I2" s="41"/>
      <c r="J2" s="41"/>
      <c r="K2" s="41"/>
      <c r="L2" s="41"/>
      <c r="M2" s="41"/>
      <c r="N2" s="41"/>
    </row>
    <row r="3" spans="1:14" ht="30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5" t="s">
        <v>11</v>
      </c>
      <c r="K3" s="45"/>
      <c r="L3" s="45"/>
      <c r="M3" s="45"/>
    </row>
    <row r="4" spans="1:14" ht="18.75" customHeight="1">
      <c r="A4" s="44"/>
      <c r="B4" s="46" t="s">
        <v>115</v>
      </c>
      <c r="D4" s="42" t="s">
        <v>84</v>
      </c>
      <c r="E4" s="44" t="s">
        <v>17</v>
      </c>
      <c r="F4" s="47">
        <f>F5*0.7</f>
        <v>1415.8043299619603</v>
      </c>
      <c r="G4" s="45"/>
      <c r="H4" s="45"/>
      <c r="I4" s="45"/>
      <c r="J4" s="45"/>
      <c r="K4" s="45"/>
      <c r="L4" s="45"/>
      <c r="M4" s="45"/>
    </row>
    <row r="5" spans="1:14" ht="18.75" customHeight="1">
      <c r="A5" s="46" t="s">
        <v>15</v>
      </c>
      <c r="B5" s="46" t="s">
        <v>115</v>
      </c>
      <c r="C5" s="46">
        <v>1</v>
      </c>
      <c r="D5" s="42" t="s">
        <v>16</v>
      </c>
      <c r="E5" s="46" t="s">
        <v>17</v>
      </c>
      <c r="F5" s="47">
        <f>'January 1, 2014'!G8*1.0225</f>
        <v>2022.5776142313721</v>
      </c>
      <c r="G5" s="47">
        <f>'January 1, 2014'!H8*1.0225</f>
        <v>2160.9094994713887</v>
      </c>
      <c r="H5" s="47">
        <f>'January 1, 2014'!I8*1.0225</f>
        <v>2308.5410072485506</v>
      </c>
      <c r="I5" s="47">
        <f>'January 1, 2014'!J8*1.0225</f>
        <v>2465.4721375628551</v>
      </c>
      <c r="J5" s="47">
        <f>'January 1, 2014'!K8*1.0225</f>
        <v>2614.8675575219941</v>
      </c>
      <c r="K5" s="47"/>
    </row>
    <row r="6" spans="1:14" ht="18.75" customHeight="1">
      <c r="A6" s="46" t="s">
        <v>19</v>
      </c>
      <c r="B6" s="46" t="s">
        <v>115</v>
      </c>
      <c r="C6" s="46">
        <v>1</v>
      </c>
      <c r="D6" s="42" t="s">
        <v>20</v>
      </c>
      <c r="E6" s="46" t="s">
        <v>17</v>
      </c>
      <c r="F6" s="47">
        <f>'January 1, 2014'!G9*1.0225</f>
        <v>2022.5776142313721</v>
      </c>
      <c r="G6" s="47">
        <f>'January 1, 2014'!H9*1.0225</f>
        <v>2160.9094994713887</v>
      </c>
      <c r="H6" s="47">
        <f>'January 1, 2014'!I9*1.0225</f>
        <v>2308.5410072485506</v>
      </c>
      <c r="I6" s="47">
        <f>'January 1, 2014'!J9*1.0225</f>
        <v>2465.4721375628551</v>
      </c>
      <c r="J6" s="47">
        <f>'January 1, 2014'!K9*1.0225</f>
        <v>2614.8675575219941</v>
      </c>
      <c r="K6" s="47"/>
    </row>
    <row r="7" spans="1:14" ht="18.75" customHeight="1">
      <c r="A7" s="46" t="s">
        <v>21</v>
      </c>
      <c r="B7" s="46" t="s">
        <v>115</v>
      </c>
      <c r="C7" s="46">
        <v>1</v>
      </c>
      <c r="D7" s="42" t="s">
        <v>22</v>
      </c>
      <c r="E7" s="46" t="s">
        <v>17</v>
      </c>
      <c r="F7" s="47">
        <f>'January 1, 2014'!G10*1.0225</f>
        <v>2022.5776142313721</v>
      </c>
      <c r="G7" s="47">
        <f>'January 1, 2014'!H10*1.0225</f>
        <v>2160.9094994713887</v>
      </c>
      <c r="H7" s="47">
        <f>'January 1, 2014'!I10*1.0225</f>
        <v>2308.5410072485506</v>
      </c>
      <c r="I7" s="47">
        <f>'January 1, 2014'!J10*1.0225</f>
        <v>2465.4721375628551</v>
      </c>
      <c r="J7" s="47">
        <f>'January 1, 2014'!K10*1.0225</f>
        <v>2614.8675575219941</v>
      </c>
      <c r="K7" s="47"/>
    </row>
    <row r="8" spans="1:14" ht="18.75" customHeight="1">
      <c r="A8" s="46" t="s">
        <v>23</v>
      </c>
      <c r="B8" s="46" t="s">
        <v>115</v>
      </c>
      <c r="C8" s="46">
        <v>2</v>
      </c>
      <c r="D8" s="42" t="s">
        <v>24</v>
      </c>
      <c r="E8" s="46" t="s">
        <v>17</v>
      </c>
      <c r="F8" s="47">
        <f>'January 1, 2014'!G11*1.0225</f>
        <v>2664.251569294308</v>
      </c>
      <c r="G8" s="47">
        <f>'January 1, 2014'!H11*1.0225</f>
        <v>2768.8723228371787</v>
      </c>
      <c r="H8" s="47">
        <f>'January 1, 2014'!I11*1.0225</f>
        <v>2937.1007767194624</v>
      </c>
      <c r="I8" s="47"/>
      <c r="J8" s="47"/>
      <c r="K8" s="47"/>
    </row>
    <row r="9" spans="1:14" ht="18.75" customHeight="1">
      <c r="A9" s="46" t="s">
        <v>77</v>
      </c>
      <c r="B9" s="46" t="s">
        <v>115</v>
      </c>
      <c r="C9" s="46">
        <v>2</v>
      </c>
      <c r="D9" s="42" t="s">
        <v>26</v>
      </c>
      <c r="E9" s="46" t="s">
        <v>17</v>
      </c>
      <c r="F9" s="47">
        <f>'January 1, 2014'!G12*1.0225</f>
        <v>2664.251569294308</v>
      </c>
      <c r="G9" s="47">
        <f>'January 1, 2014'!H12*1.0225</f>
        <v>2768.8723228371787</v>
      </c>
      <c r="H9" s="47">
        <f>'January 1, 2014'!I12*1.0225</f>
        <v>2937.1007767194624</v>
      </c>
      <c r="I9" s="47"/>
      <c r="J9" s="47"/>
      <c r="K9" s="47"/>
    </row>
    <row r="10" spans="1:14" ht="18.75" customHeight="1">
      <c r="A10" s="46" t="s">
        <v>27</v>
      </c>
      <c r="B10" s="46" t="s">
        <v>115</v>
      </c>
      <c r="C10" s="46">
        <v>2</v>
      </c>
      <c r="D10" s="42" t="s">
        <v>28</v>
      </c>
      <c r="E10" s="46" t="s">
        <v>17</v>
      </c>
      <c r="F10" s="47">
        <f>'January 1, 2014'!G13*1.0225</f>
        <v>2664.251569294308</v>
      </c>
      <c r="G10" s="47">
        <f>'January 1, 2014'!H13*1.0225</f>
        <v>2768.8723228371787</v>
      </c>
      <c r="H10" s="47">
        <f>'January 1, 2014'!I13*1.0225</f>
        <v>2937.1007767194624</v>
      </c>
      <c r="I10" s="47"/>
      <c r="J10" s="47"/>
      <c r="K10" s="47"/>
    </row>
    <row r="11" spans="1:14" ht="18.75" customHeight="1">
      <c r="A11" s="46" t="s">
        <v>29</v>
      </c>
      <c r="B11" s="46" t="s">
        <v>115</v>
      </c>
      <c r="C11" s="46">
        <v>2</v>
      </c>
      <c r="D11" s="42" t="s">
        <v>30</v>
      </c>
      <c r="E11" s="46" t="s">
        <v>17</v>
      </c>
      <c r="F11" s="47">
        <f>'January 1, 2014'!G14*1.0225</f>
        <v>3019.9621313400662</v>
      </c>
      <c r="G11" s="47">
        <f>'January 1, 2014'!H14*1.0225</f>
        <v>3139.6947715057954</v>
      </c>
      <c r="H11" s="47">
        <f>'January 1, 2014'!I14*1.0225</f>
        <v>3331.8661965480951</v>
      </c>
      <c r="I11" s="47"/>
      <c r="J11" s="47"/>
      <c r="K11" s="47"/>
    </row>
    <row r="12" spans="1:14" ht="18.75" customHeight="1">
      <c r="A12" s="46" t="s">
        <v>31</v>
      </c>
      <c r="B12" s="46" t="s">
        <v>115</v>
      </c>
      <c r="C12" s="46">
        <v>3</v>
      </c>
      <c r="D12" s="42" t="s">
        <v>32</v>
      </c>
      <c r="E12" s="46" t="s">
        <v>17</v>
      </c>
      <c r="F12" s="47">
        <f>'January 1, 2014'!G15*1.0225</f>
        <v>3019.9621313400662</v>
      </c>
      <c r="G12" s="47">
        <f>'January 1, 2014'!H15*1.0225</f>
        <v>3139.6947715057954</v>
      </c>
      <c r="H12" s="47">
        <f>'January 1, 2014'!I15*1.0225</f>
        <v>3331.8661965480951</v>
      </c>
      <c r="I12" s="47"/>
      <c r="J12" s="47"/>
      <c r="K12" s="47"/>
    </row>
    <row r="13" spans="1:14" ht="18.75" customHeight="1">
      <c r="A13" s="46" t="s">
        <v>33</v>
      </c>
      <c r="B13" s="46" t="s">
        <v>115</v>
      </c>
      <c r="C13" s="46">
        <v>3</v>
      </c>
      <c r="D13" s="42" t="s">
        <v>34</v>
      </c>
      <c r="E13" s="46" t="s">
        <v>17</v>
      </c>
      <c r="F13" s="47">
        <f>'January 1, 2014'!G16*1.0225</f>
        <v>3019.9621313400662</v>
      </c>
      <c r="G13" s="47">
        <f>'January 1, 2014'!H16*1.0225</f>
        <v>3139.6947715057954</v>
      </c>
      <c r="H13" s="47">
        <f>'January 1, 2014'!I16*1.0225</f>
        <v>3331.8661965480951</v>
      </c>
      <c r="I13" s="47"/>
      <c r="J13" s="47"/>
      <c r="K13" s="47"/>
    </row>
    <row r="14" spans="1:14" ht="18.75" customHeight="1">
      <c r="A14" s="46" t="s">
        <v>35</v>
      </c>
      <c r="B14" s="46" t="s">
        <v>115</v>
      </c>
      <c r="C14" s="46">
        <v>3</v>
      </c>
      <c r="D14" s="42" t="s">
        <v>36</v>
      </c>
      <c r="E14" s="46" t="s">
        <v>17</v>
      </c>
      <c r="F14" s="47">
        <f>'January 1, 2014'!G17*1.0225</f>
        <v>3019.9621313400662</v>
      </c>
      <c r="G14" s="47">
        <f>'January 1, 2014'!H17*1.0225</f>
        <v>3139.6947715057954</v>
      </c>
      <c r="H14" s="47">
        <f>'January 1, 2014'!I17*1.0225</f>
        <v>3331.8661965480951</v>
      </c>
      <c r="I14" s="47"/>
      <c r="J14" s="47"/>
      <c r="K14" s="47"/>
    </row>
    <row r="15" spans="1:14" ht="18.75" customHeight="1">
      <c r="A15" s="46" t="s">
        <v>37</v>
      </c>
      <c r="B15" s="46" t="s">
        <v>115</v>
      </c>
      <c r="C15" s="46">
        <v>3</v>
      </c>
      <c r="D15" s="42" t="s">
        <v>38</v>
      </c>
      <c r="E15" s="46" t="s">
        <v>17</v>
      </c>
      <c r="F15" s="47">
        <f>'January 1, 2014'!G18*1.0225</f>
        <v>3019.9621313400662</v>
      </c>
      <c r="G15" s="47">
        <f>'January 1, 2014'!H18*1.0225</f>
        <v>3139.6947715057954</v>
      </c>
      <c r="H15" s="47">
        <f>'January 1, 2014'!I18*1.0225</f>
        <v>3331.8661965480951</v>
      </c>
      <c r="I15" s="47"/>
      <c r="J15" s="47"/>
      <c r="K15" s="47"/>
    </row>
    <row r="16" spans="1:14" ht="18.75" customHeight="1">
      <c r="A16" s="46" t="s">
        <v>41</v>
      </c>
      <c r="B16" s="46" t="s">
        <v>115</v>
      </c>
      <c r="C16" s="46">
        <v>4</v>
      </c>
      <c r="D16" s="48" t="s">
        <v>113</v>
      </c>
      <c r="E16" s="46" t="s">
        <v>17</v>
      </c>
      <c r="F16" s="47">
        <f>'January 1, 2014'!G19*1.0225</f>
        <v>3090.8717531857887</v>
      </c>
      <c r="G16" s="47">
        <f>'January 1, 2014'!H19*1.0225</f>
        <v>3143.1821299572243</v>
      </c>
      <c r="H16" s="47">
        <f>'January 1, 2014'!I19*1.0225</f>
        <v>3196.6549595458023</v>
      </c>
      <c r="I16" s="47">
        <f>'January 1, 2014'!J19*1.0225</f>
        <v>3250.1277891343807</v>
      </c>
      <c r="J16" s="47">
        <f>'January 1, 2014'!K19*1.0225</f>
        <v>3448.3933385457035</v>
      </c>
      <c r="K16" s="47"/>
    </row>
    <row r="17" spans="1:18" ht="18.75" customHeight="1">
      <c r="A17" s="46" t="s">
        <v>39</v>
      </c>
      <c r="B17" s="46" t="s">
        <v>115</v>
      </c>
      <c r="C17" s="46">
        <v>4</v>
      </c>
      <c r="D17" s="42" t="s">
        <v>42</v>
      </c>
      <c r="E17" s="46" t="s">
        <v>17</v>
      </c>
      <c r="F17" s="47">
        <f>'January 1, 2014'!G20*1.0225</f>
        <v>3090.8717531857887</v>
      </c>
      <c r="G17" s="47">
        <f>'January 1, 2014'!H20*1.0225</f>
        <v>3143.1821299572243</v>
      </c>
      <c r="H17" s="47">
        <f>'January 1, 2014'!I20*1.0225</f>
        <v>3196.6549595458023</v>
      </c>
      <c r="I17" s="47">
        <f>'January 1, 2014'!J20*1.0225</f>
        <v>3250.1277891343807</v>
      </c>
      <c r="J17" s="47">
        <f>'January 1, 2014'!K20*1.0225</f>
        <v>3448.3933385457035</v>
      </c>
      <c r="K17" s="47"/>
    </row>
    <row r="18" spans="1:18" ht="27.75" customHeight="1">
      <c r="A18" s="42" t="s">
        <v>106</v>
      </c>
      <c r="C18" s="46"/>
      <c r="G18" s="46"/>
      <c r="H18" s="46"/>
      <c r="I18" s="46"/>
      <c r="J18" s="46"/>
      <c r="K18" s="46"/>
      <c r="L18" s="46"/>
      <c r="M18" s="46"/>
    </row>
    <row r="19" spans="1:18" ht="17.25" customHeight="1">
      <c r="B19" s="49">
        <f>'January 1, 2014'!C23*1.0225</f>
        <v>0.84422725324797998</v>
      </c>
      <c r="C19" s="50" t="s">
        <v>45</v>
      </c>
      <c r="G19" s="46"/>
      <c r="H19" s="46"/>
      <c r="I19" s="46"/>
      <c r="J19" s="46"/>
      <c r="K19" s="46"/>
      <c r="L19" s="46"/>
      <c r="M19" s="46"/>
      <c r="R19" s="46"/>
    </row>
    <row r="20" spans="1:18" ht="17.25" customHeight="1">
      <c r="B20" s="49">
        <f>'January 1, 2014'!C24*1.0225</f>
        <v>0.3686062655026392</v>
      </c>
      <c r="C20" s="50" t="s">
        <v>46</v>
      </c>
      <c r="G20" s="46"/>
      <c r="H20" s="46"/>
      <c r="I20" s="46"/>
      <c r="J20" s="46"/>
      <c r="K20" s="46"/>
      <c r="L20" s="46"/>
      <c r="M20" s="46"/>
      <c r="R20" s="46"/>
    </row>
    <row r="21" spans="1:18" ht="17.25" customHeight="1">
      <c r="A21" s="50" t="s">
        <v>111</v>
      </c>
      <c r="C21" s="46"/>
      <c r="G21" s="46"/>
      <c r="H21" s="46"/>
      <c r="I21" s="46"/>
      <c r="J21" s="46"/>
      <c r="K21" s="46"/>
      <c r="L21" s="46"/>
      <c r="M21" s="46"/>
    </row>
    <row r="22" spans="1:18" ht="17.25" customHeight="1">
      <c r="A22" s="50" t="s">
        <v>112</v>
      </c>
      <c r="C22" s="46"/>
      <c r="G22" s="46"/>
      <c r="H22" s="46"/>
      <c r="I22" s="46"/>
      <c r="J22" s="46"/>
      <c r="K22" s="46"/>
      <c r="L22" s="46"/>
      <c r="M22" s="46"/>
    </row>
    <row r="23" spans="1:18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46"/>
    </row>
    <row r="24" spans="1:18" ht="17.25" customHeight="1">
      <c r="A24" s="50" t="s">
        <v>50</v>
      </c>
      <c r="C24" s="46"/>
      <c r="G24" s="46"/>
      <c r="H24" s="46"/>
      <c r="I24" s="46"/>
      <c r="J24" s="46"/>
      <c r="K24" s="46"/>
      <c r="L24" s="46"/>
      <c r="M24" s="46"/>
    </row>
    <row r="25" spans="1:18" ht="17.25" customHeight="1">
      <c r="A25" s="42" t="s">
        <v>51</v>
      </c>
      <c r="C25" s="46"/>
      <c r="G25" s="46"/>
      <c r="H25" s="46"/>
      <c r="I25" s="46"/>
      <c r="J25" s="46"/>
      <c r="K25" s="46"/>
      <c r="L25" s="46"/>
      <c r="M25" s="46"/>
    </row>
    <row r="26" spans="1:18" ht="17.25" customHeight="1">
      <c r="A26" s="50" t="s">
        <v>52</v>
      </c>
      <c r="B26" s="46"/>
      <c r="C26" s="46"/>
    </row>
    <row r="27" spans="1:18" ht="17.25" customHeight="1">
      <c r="A27" s="50"/>
      <c r="B27" s="46"/>
      <c r="C27" s="46"/>
    </row>
    <row r="28" spans="1:18" ht="27.75" customHeight="1">
      <c r="A28" s="41" t="s">
        <v>136</v>
      </c>
      <c r="B28" s="42" t="s">
        <v>139</v>
      </c>
    </row>
    <row r="29" spans="1:18" ht="23.25" customHeight="1">
      <c r="A29" s="56">
        <f>'January 1, 2014'!A35*1.0225</f>
        <v>14.55400222500743</v>
      </c>
      <c r="B29" s="52" t="s">
        <v>116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8" ht="23.25" customHeight="1">
      <c r="A30" s="56">
        <f>'January 1, 2014'!A36*1.0225</f>
        <v>20.641950868147791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R30" s="51"/>
    </row>
    <row r="31" spans="1:18" ht="23.25" customHeight="1">
      <c r="A31" s="56">
        <f>'January 1, 2014'!A37*1.0225</f>
        <v>26.729899511288156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R31" s="51"/>
    </row>
    <row r="32" spans="1:18" ht="23.25" customHeight="1">
      <c r="A32" s="56">
        <f>'January 1, 2014'!A38*1.0225</f>
        <v>32.817848154428525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R32" s="51"/>
    </row>
    <row r="33" spans="1:18" ht="23.25" customHeight="1">
      <c r="A33" s="56">
        <f>'January 1, 2014'!A39*1.0225</f>
        <v>38.905796797568883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R33" s="51"/>
    </row>
    <row r="34" spans="1:18" ht="23.25" customHeight="1">
      <c r="A34" s="56">
        <f>'January 1, 2014'!A40*1.0225</f>
        <v>117.58539869534188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R34" s="51"/>
    </row>
    <row r="35" spans="1:18" ht="23.25" customHeight="1">
      <c r="A35" s="56">
        <f>'January 1, 2014'!A41*1.0225</f>
        <v>124.19653042500215</v>
      </c>
      <c r="B35" s="52" t="s">
        <v>122</v>
      </c>
      <c r="R35" s="51"/>
    </row>
    <row r="36" spans="1:18" ht="23.25" customHeight="1">
      <c r="A36" s="56">
        <f>'January 1, 2014'!A42*1.0225</f>
        <v>130.79577162996875</v>
      </c>
      <c r="B36" s="52" t="s">
        <v>123</v>
      </c>
      <c r="R36" s="51"/>
    </row>
    <row r="37" spans="1:18" ht="23.25" customHeight="1">
      <c r="A37" s="56">
        <f>'January 1, 2014'!A43*1.0225</f>
        <v>171.08086929199911</v>
      </c>
      <c r="B37" s="52" t="s">
        <v>124</v>
      </c>
      <c r="R37" s="51"/>
    </row>
    <row r="38" spans="1:18" ht="23.25" customHeight="1">
      <c r="A38" s="56">
        <f>'January 1, 2014'!A44*1.0225</f>
        <v>177.68011049696574</v>
      </c>
      <c r="B38" s="52" t="s">
        <v>125</v>
      </c>
      <c r="R38" s="51"/>
    </row>
    <row r="39" spans="1:18" ht="23.25" customHeight="1">
      <c r="A39" s="56">
        <f>'January 1, 2014'!A45*1.0225</f>
        <v>184.29124222662597</v>
      </c>
      <c r="B39" s="52" t="s">
        <v>126</v>
      </c>
      <c r="R39" s="51"/>
    </row>
    <row r="40" spans="1:18" ht="23.25" customHeight="1">
      <c r="A40" s="56">
        <f>'January 1, 2014'!A46*1.0225</f>
        <v>190.90237395628623</v>
      </c>
      <c r="B40" s="52" t="s">
        <v>127</v>
      </c>
      <c r="R40" s="51"/>
    </row>
    <row r="41" spans="1:18" ht="23.25" customHeight="1">
      <c r="A41" s="56">
        <f>'January 1, 2014'!A47*1.0225</f>
        <v>209.64184087345259</v>
      </c>
      <c r="B41" s="52" t="s">
        <v>128</v>
      </c>
      <c r="R41" s="51"/>
    </row>
    <row r="42" spans="1:18" ht="23.25" customHeight="1">
      <c r="A42" s="56">
        <f>'January 1, 2014'!A48*1.0225</f>
        <v>263.38701248867613</v>
      </c>
      <c r="B42" s="52" t="s">
        <v>129</v>
      </c>
      <c r="R42" s="51"/>
    </row>
    <row r="43" spans="1:18" ht="23.25" customHeight="1">
      <c r="A43" s="56">
        <f>'January 1, 2014'!A49*1.0225</f>
        <v>269.99814421833639</v>
      </c>
      <c r="B43" s="52" t="s">
        <v>130</v>
      </c>
      <c r="R43" s="51"/>
    </row>
    <row r="44" spans="1:18" ht="23.25" customHeight="1">
      <c r="A44" s="56">
        <f>'January 1, 2014'!A50*1.0225</f>
        <v>276.60927594799659</v>
      </c>
      <c r="B44" s="52" t="s">
        <v>131</v>
      </c>
      <c r="R44" s="51"/>
    </row>
    <row r="45" spans="1:18" ht="23.25" customHeight="1">
      <c r="A45" s="56">
        <f>'January 1, 2014'!A51*1.0225</f>
        <v>283.22040767765685</v>
      </c>
      <c r="B45" s="52" t="s">
        <v>132</v>
      </c>
      <c r="R45" s="51"/>
    </row>
    <row r="46" spans="1:18" ht="23.25" customHeight="1">
      <c r="A46" s="56">
        <f>'January 1, 2014'!A52*1.0225</f>
        <v>289.83153940731717</v>
      </c>
      <c r="B46" s="52" t="s">
        <v>133</v>
      </c>
      <c r="R46" s="51"/>
    </row>
    <row r="47" spans="1:18" ht="23.25" customHeight="1">
      <c r="A47" s="56">
        <f>'January 1, 2014'!A53*1.0225</f>
        <v>316.63278206676711</v>
      </c>
      <c r="B47" s="52" t="s">
        <v>134</v>
      </c>
      <c r="R47" s="51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41"/>
      <c r="N78" s="41"/>
      <c r="O78" s="4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41"/>
      <c r="N79" s="41"/>
      <c r="O79" s="4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</row>
    <row r="84" spans="1:14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51"/>
    </row>
    <row r="85" spans="1:14">
      <c r="A85" s="51"/>
      <c r="B85" s="52"/>
      <c r="N85" s="51"/>
    </row>
    <row r="86" spans="1:14">
      <c r="A86" s="51"/>
      <c r="B86" s="52"/>
      <c r="N86" s="51"/>
    </row>
    <row r="87" spans="1:14">
      <c r="A87" s="51"/>
      <c r="B87" s="52"/>
      <c r="N87" s="51"/>
    </row>
    <row r="88" spans="1:14">
      <c r="A88" s="51"/>
      <c r="B88" s="52"/>
      <c r="N88" s="51"/>
    </row>
    <row r="89" spans="1:14">
      <c r="A89" s="51"/>
      <c r="B89" s="52"/>
      <c r="N89" s="51"/>
    </row>
    <row r="90" spans="1:14">
      <c r="A90" s="51"/>
      <c r="B90" s="52"/>
      <c r="N90" s="51"/>
    </row>
    <row r="91" spans="1:14">
      <c r="A91" s="51"/>
      <c r="B91" s="52"/>
      <c r="N91" s="51"/>
    </row>
    <row r="92" spans="1:14">
      <c r="A92" s="51"/>
      <c r="B92" s="52"/>
      <c r="N92" s="51"/>
    </row>
    <row r="93" spans="1:14">
      <c r="A93" s="51"/>
      <c r="B93" s="52"/>
      <c r="N93" s="51"/>
    </row>
    <row r="94" spans="1:14">
      <c r="A94" s="51"/>
      <c r="B94" s="52"/>
      <c r="N94" s="51"/>
    </row>
    <row r="95" spans="1:14">
      <c r="A95" s="51"/>
      <c r="B95" s="52"/>
      <c r="N95" s="51"/>
    </row>
    <row r="96" spans="1:14">
      <c r="A96" s="51"/>
      <c r="B96" s="52"/>
      <c r="N96" s="51"/>
    </row>
    <row r="97" spans="1:14">
      <c r="A97" s="51"/>
      <c r="B97" s="52"/>
      <c r="N97" s="51"/>
    </row>
    <row r="98" spans="1:14">
      <c r="B98" s="52"/>
      <c r="N98" s="51"/>
    </row>
    <row r="99" spans="1:14">
      <c r="B99" s="52"/>
      <c r="N99" s="51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R101"/>
  <sheetViews>
    <sheetView workbookViewId="0">
      <selection activeCell="A5" sqref="A5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4.140625" style="42" customWidth="1"/>
    <col min="7" max="12" width="6.5703125" style="42" customWidth="1"/>
    <col min="13" max="13" width="6.42578125" style="42" customWidth="1"/>
    <col min="14" max="14" width="24" style="42" customWidth="1"/>
    <col min="15" max="15" width="6.5703125" style="42" customWidth="1"/>
    <col min="16" max="16384" width="9.140625" style="42"/>
  </cols>
  <sheetData>
    <row r="1" spans="1:14" ht="18.75">
      <c r="A1" s="55" t="s">
        <v>140</v>
      </c>
      <c r="B1" s="41"/>
      <c r="C1" s="41"/>
      <c r="D1" s="41"/>
      <c r="E1" s="41"/>
      <c r="F1" s="41"/>
      <c r="G1" s="41"/>
      <c r="H1" s="41"/>
    </row>
    <row r="2" spans="1:14">
      <c r="A2" s="43" t="s">
        <v>109</v>
      </c>
      <c r="B2" s="44"/>
      <c r="C2" s="44"/>
      <c r="D2" s="41"/>
      <c r="E2" s="41"/>
      <c r="F2" s="43" t="s">
        <v>80</v>
      </c>
      <c r="G2" s="41"/>
      <c r="H2" s="41"/>
      <c r="I2" s="41"/>
      <c r="J2" s="41"/>
      <c r="K2" s="41"/>
      <c r="L2" s="41"/>
      <c r="M2" s="41"/>
      <c r="N2" s="41"/>
    </row>
    <row r="3" spans="1:14" ht="30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5</v>
      </c>
      <c r="F3" s="44" t="s">
        <v>6</v>
      </c>
      <c r="G3" s="45" t="s">
        <v>7</v>
      </c>
      <c r="H3" s="45" t="s">
        <v>8</v>
      </c>
      <c r="I3" s="45" t="s">
        <v>9</v>
      </c>
      <c r="J3" s="45" t="s">
        <v>10</v>
      </c>
      <c r="K3" s="45" t="s">
        <v>11</v>
      </c>
      <c r="L3" s="45" t="s">
        <v>12</v>
      </c>
      <c r="M3" s="45"/>
      <c r="N3" s="45"/>
    </row>
    <row r="4" spans="1:14" ht="18.75" customHeight="1">
      <c r="A4" s="46" t="s">
        <v>158</v>
      </c>
      <c r="B4" s="46" t="s">
        <v>115</v>
      </c>
      <c r="C4" s="44"/>
      <c r="D4" s="42" t="s">
        <v>84</v>
      </c>
      <c r="E4" s="44"/>
      <c r="F4" s="44" t="s">
        <v>17</v>
      </c>
      <c r="G4" s="47">
        <v>1473.6117374160483</v>
      </c>
      <c r="H4" s="45"/>
      <c r="I4" s="45"/>
      <c r="J4" s="45"/>
      <c r="K4" s="45"/>
      <c r="L4" s="45"/>
      <c r="M4" s="45"/>
      <c r="N4" s="45"/>
    </row>
    <row r="5" spans="1:14" ht="18.75" customHeight="1">
      <c r="A5" s="46" t="s">
        <v>15</v>
      </c>
      <c r="B5" s="46" t="s">
        <v>115</v>
      </c>
      <c r="C5" s="46">
        <v>1</v>
      </c>
      <c r="D5" s="42" t="s">
        <v>16</v>
      </c>
      <c r="E5" s="42">
        <v>353</v>
      </c>
      <c r="F5" s="46" t="s">
        <v>17</v>
      </c>
      <c r="G5" s="47">
        <v>2105.1596248800693</v>
      </c>
      <c r="H5" s="47">
        <v>2210.4176061240728</v>
      </c>
      <c r="I5" s="47">
        <v>2320.9384864302765</v>
      </c>
      <c r="J5" s="47">
        <v>2436.9854107517904</v>
      </c>
      <c r="K5" s="47">
        <v>2558.8346812893801</v>
      </c>
      <c r="L5" s="47">
        <v>2686.7764153538492</v>
      </c>
    </row>
    <row r="6" spans="1:14" ht="18.75" customHeight="1">
      <c r="A6" s="46" t="s">
        <v>19</v>
      </c>
      <c r="B6" s="46" t="s">
        <v>115</v>
      </c>
      <c r="C6" s="46">
        <v>1</v>
      </c>
      <c r="D6" s="42" t="s">
        <v>20</v>
      </c>
      <c r="E6" s="42">
        <v>353</v>
      </c>
      <c r="F6" s="46" t="s">
        <v>17</v>
      </c>
      <c r="G6" s="47">
        <v>2105.1596248800693</v>
      </c>
      <c r="H6" s="47">
        <v>2210.4176061240728</v>
      </c>
      <c r="I6" s="47">
        <v>2320.9384864302765</v>
      </c>
      <c r="J6" s="47">
        <v>2436.9854107517904</v>
      </c>
      <c r="K6" s="47">
        <v>2558.8346812893801</v>
      </c>
      <c r="L6" s="47">
        <v>2686.7764153538492</v>
      </c>
    </row>
    <row r="7" spans="1:14" ht="18.75" customHeight="1">
      <c r="A7" s="46" t="s">
        <v>21</v>
      </c>
      <c r="B7" s="46" t="s">
        <v>115</v>
      </c>
      <c r="C7" s="46">
        <v>1</v>
      </c>
      <c r="D7" s="42" t="s">
        <v>22</v>
      </c>
      <c r="F7" s="46" t="s">
        <v>17</v>
      </c>
      <c r="G7" s="47">
        <v>2105.1596248800693</v>
      </c>
      <c r="H7" s="47">
        <v>2210.4176061240728</v>
      </c>
      <c r="I7" s="47">
        <v>2320.9384864302765</v>
      </c>
      <c r="J7" s="47">
        <v>2436.9854107517904</v>
      </c>
      <c r="K7" s="47">
        <v>2558.8346812893801</v>
      </c>
      <c r="L7" s="47">
        <v>2686.7764153538492</v>
      </c>
    </row>
    <row r="8" spans="1:14" ht="18.75" customHeight="1">
      <c r="A8" s="46" t="s">
        <v>23</v>
      </c>
      <c r="B8" s="46" t="s">
        <v>115</v>
      </c>
      <c r="C8" s="46">
        <v>2</v>
      </c>
      <c r="D8" s="42" t="s">
        <v>24</v>
      </c>
      <c r="F8" s="46" t="s">
        <v>17</v>
      </c>
      <c r="G8" s="47">
        <v>2737.5184874499018</v>
      </c>
      <c r="H8" s="47">
        <v>2845.0163117152015</v>
      </c>
      <c r="I8" s="47">
        <v>3017.8710480792479</v>
      </c>
      <c r="J8" s="47"/>
      <c r="K8" s="47"/>
      <c r="L8" s="47"/>
    </row>
    <row r="9" spans="1:14" ht="18.75" customHeight="1">
      <c r="A9" s="46" t="s">
        <v>77</v>
      </c>
      <c r="B9" s="46" t="s">
        <v>115</v>
      </c>
      <c r="C9" s="46">
        <v>2</v>
      </c>
      <c r="D9" s="42" t="s">
        <v>26</v>
      </c>
      <c r="F9" s="46" t="s">
        <v>17</v>
      </c>
      <c r="G9" s="47">
        <v>2737.5184874499018</v>
      </c>
      <c r="H9" s="47">
        <v>2845.0163117152015</v>
      </c>
      <c r="I9" s="47">
        <v>3017.8710480792479</v>
      </c>
      <c r="J9" s="47"/>
      <c r="K9" s="47"/>
      <c r="L9" s="47"/>
    </row>
    <row r="10" spans="1:14" ht="18.75" customHeight="1">
      <c r="A10" s="46" t="s">
        <v>27</v>
      </c>
      <c r="B10" s="46" t="s">
        <v>115</v>
      </c>
      <c r="C10" s="46">
        <v>2</v>
      </c>
      <c r="D10" s="42" t="s">
        <v>28</v>
      </c>
      <c r="F10" s="46" t="s">
        <v>17</v>
      </c>
      <c r="G10" s="47">
        <v>2737.5184874499018</v>
      </c>
      <c r="H10" s="47">
        <v>2845.0163117152015</v>
      </c>
      <c r="I10" s="47">
        <v>3017.8710480792479</v>
      </c>
      <c r="J10" s="47"/>
      <c r="K10" s="47"/>
      <c r="L10" s="47"/>
    </row>
    <row r="11" spans="1:14" ht="18.75" customHeight="1">
      <c r="A11" s="46" t="s">
        <v>29</v>
      </c>
      <c r="B11" s="46" t="s">
        <v>115</v>
      </c>
      <c r="C11" s="46">
        <v>2</v>
      </c>
      <c r="D11" s="42" t="s">
        <v>30</v>
      </c>
      <c r="F11" s="46" t="s">
        <v>17</v>
      </c>
      <c r="G11" s="47">
        <v>3103.0110899519182</v>
      </c>
      <c r="H11" s="47">
        <v>3226.0363777222051</v>
      </c>
      <c r="I11" s="47">
        <v>3423.492516953168</v>
      </c>
      <c r="J11" s="47"/>
      <c r="K11" s="47"/>
      <c r="L11" s="47"/>
    </row>
    <row r="12" spans="1:14" ht="18.75" customHeight="1">
      <c r="A12" s="46" t="s">
        <v>31</v>
      </c>
      <c r="B12" s="46" t="s">
        <v>115</v>
      </c>
      <c r="C12" s="46">
        <v>3</v>
      </c>
      <c r="D12" s="42" t="s">
        <v>32</v>
      </c>
      <c r="F12" s="46" t="s">
        <v>17</v>
      </c>
      <c r="G12" s="47">
        <v>3103.0110899519182</v>
      </c>
      <c r="H12" s="47">
        <v>3226.0363777222051</v>
      </c>
      <c r="I12" s="47">
        <v>3423.492516953168</v>
      </c>
      <c r="J12" s="47"/>
      <c r="K12" s="47"/>
      <c r="L12" s="47"/>
    </row>
    <row r="13" spans="1:14" ht="18.75" customHeight="1">
      <c r="A13" s="46" t="s">
        <v>33</v>
      </c>
      <c r="B13" s="46" t="s">
        <v>115</v>
      </c>
      <c r="C13" s="46">
        <v>3</v>
      </c>
      <c r="D13" s="42" t="s">
        <v>34</v>
      </c>
      <c r="F13" s="46" t="s">
        <v>17</v>
      </c>
      <c r="G13" s="47">
        <v>3103.0110899519182</v>
      </c>
      <c r="H13" s="47">
        <v>3226.0363777222051</v>
      </c>
      <c r="I13" s="47">
        <v>3423.492516953168</v>
      </c>
      <c r="J13" s="47"/>
      <c r="K13" s="47"/>
      <c r="L13" s="47"/>
    </row>
    <row r="14" spans="1:14" ht="18.75" customHeight="1">
      <c r="A14" s="46" t="s">
        <v>35</v>
      </c>
      <c r="B14" s="46" t="s">
        <v>115</v>
      </c>
      <c r="C14" s="46">
        <v>3</v>
      </c>
      <c r="D14" s="42" t="s">
        <v>36</v>
      </c>
      <c r="F14" s="46" t="s">
        <v>17</v>
      </c>
      <c r="G14" s="47">
        <v>3103.0110899519182</v>
      </c>
      <c r="H14" s="47">
        <v>3226.0363777222051</v>
      </c>
      <c r="I14" s="47">
        <v>3423.492516953168</v>
      </c>
      <c r="J14" s="47"/>
      <c r="K14" s="47"/>
      <c r="L14" s="47"/>
    </row>
    <row r="15" spans="1:14" ht="18.75" customHeight="1">
      <c r="A15" s="46" t="s">
        <v>37</v>
      </c>
      <c r="B15" s="46" t="s">
        <v>115</v>
      </c>
      <c r="C15" s="46">
        <v>3</v>
      </c>
      <c r="D15" s="42" t="s">
        <v>38</v>
      </c>
      <c r="F15" s="46" t="s">
        <v>17</v>
      </c>
      <c r="G15" s="47">
        <v>3103.0110899519182</v>
      </c>
      <c r="H15" s="47">
        <v>3226.0363777222051</v>
      </c>
      <c r="I15" s="47">
        <v>3423.492516953168</v>
      </c>
      <c r="J15" s="47"/>
      <c r="K15" s="47"/>
      <c r="L15" s="47"/>
    </row>
    <row r="16" spans="1:14" ht="18.75" customHeight="1">
      <c r="A16" s="46" t="s">
        <v>41</v>
      </c>
      <c r="B16" s="46" t="s">
        <v>115</v>
      </c>
      <c r="C16" s="46">
        <v>4</v>
      </c>
      <c r="D16" s="48" t="s">
        <v>113</v>
      </c>
      <c r="F16" s="46" t="s">
        <v>17</v>
      </c>
      <c r="G16" s="47">
        <v>3175.8707263983983</v>
      </c>
      <c r="H16" s="47">
        <v>3229.6196385310482</v>
      </c>
      <c r="I16" s="47">
        <v>3284.562970933312</v>
      </c>
      <c r="J16" s="47">
        <v>3339.5063033355764</v>
      </c>
      <c r="K16" s="47">
        <v>3543.2241553557105</v>
      </c>
      <c r="L16" s="47"/>
    </row>
    <row r="17" spans="1:18" ht="18.75" customHeight="1">
      <c r="A17" s="46" t="s">
        <v>39</v>
      </c>
      <c r="B17" s="46" t="s">
        <v>115</v>
      </c>
      <c r="C17" s="46">
        <v>4</v>
      </c>
      <c r="D17" s="42" t="s">
        <v>42</v>
      </c>
      <c r="E17" s="41"/>
      <c r="F17" s="46" t="s">
        <v>17</v>
      </c>
      <c r="G17" s="47">
        <v>3175.8707263983983</v>
      </c>
      <c r="H17" s="47">
        <v>3229.6196385310482</v>
      </c>
      <c r="I17" s="47">
        <v>3284.562970933312</v>
      </c>
      <c r="J17" s="47">
        <v>3339.5063033355764</v>
      </c>
      <c r="K17" s="47">
        <v>3543.2241553557105</v>
      </c>
      <c r="L17" s="47"/>
    </row>
    <row r="18" spans="1:18" ht="27.75" customHeight="1">
      <c r="A18" s="42" t="s">
        <v>141</v>
      </c>
      <c r="C18" s="46"/>
      <c r="G18" s="46"/>
      <c r="H18" s="46"/>
      <c r="I18" s="46"/>
      <c r="J18" s="46"/>
      <c r="K18" s="46"/>
      <c r="L18" s="46"/>
      <c r="M18" s="46"/>
    </row>
    <row r="19" spans="1:18" ht="17.25" customHeight="1">
      <c r="B19" s="49">
        <v>0.86744350271229953</v>
      </c>
      <c r="C19" s="50" t="s">
        <v>45</v>
      </c>
      <c r="G19" s="46"/>
      <c r="H19" s="46"/>
      <c r="I19" s="46"/>
      <c r="J19" s="46"/>
      <c r="K19" s="46"/>
      <c r="L19" s="46"/>
      <c r="M19" s="46"/>
      <c r="R19" s="46"/>
    </row>
    <row r="20" spans="1:18" ht="17.25" customHeight="1">
      <c r="B20" s="49">
        <v>0.37874293780396179</v>
      </c>
      <c r="C20" s="50" t="s">
        <v>46</v>
      </c>
      <c r="G20" s="46"/>
      <c r="H20" s="46"/>
      <c r="I20" s="46"/>
      <c r="J20" s="46"/>
      <c r="K20" s="46"/>
      <c r="L20" s="46"/>
      <c r="M20" s="46"/>
      <c r="R20" s="46"/>
    </row>
    <row r="21" spans="1:18" ht="17.25" customHeight="1">
      <c r="A21" s="42" t="s">
        <v>111</v>
      </c>
      <c r="C21" s="46"/>
      <c r="G21" s="46"/>
      <c r="H21" s="46"/>
      <c r="I21" s="46"/>
      <c r="J21" s="46"/>
      <c r="K21" s="46"/>
      <c r="L21" s="46"/>
      <c r="M21" s="46"/>
    </row>
    <row r="22" spans="1:18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  <c r="M22" s="46"/>
    </row>
    <row r="23" spans="1:18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46"/>
    </row>
    <row r="24" spans="1:18" ht="17.25" customHeight="1">
      <c r="A24" s="50" t="s">
        <v>50</v>
      </c>
      <c r="C24" s="46"/>
      <c r="G24" s="46"/>
      <c r="H24" s="46"/>
      <c r="I24" s="46"/>
      <c r="J24" s="46"/>
      <c r="K24" s="46"/>
      <c r="L24" s="46"/>
      <c r="M24" s="46"/>
    </row>
    <row r="25" spans="1:18" ht="17.25" customHeight="1">
      <c r="A25" s="42" t="s">
        <v>51</v>
      </c>
      <c r="C25" s="46"/>
      <c r="G25" s="46"/>
      <c r="H25" s="46"/>
      <c r="I25" s="46"/>
      <c r="J25" s="46"/>
      <c r="K25" s="46"/>
      <c r="L25" s="46"/>
      <c r="M25" s="46"/>
    </row>
    <row r="26" spans="1:18" ht="17.25" customHeight="1">
      <c r="A26" s="50" t="s">
        <v>52</v>
      </c>
      <c r="B26" s="46"/>
      <c r="C26" s="46"/>
    </row>
    <row r="27" spans="1:18" ht="17.25" customHeight="1">
      <c r="A27" s="50"/>
      <c r="B27" s="46"/>
      <c r="C27" s="46"/>
    </row>
    <row r="28" spans="1:18" ht="27.75" customHeight="1">
      <c r="A28" s="41" t="s">
        <v>136</v>
      </c>
      <c r="B28" s="42" t="s">
        <v>139</v>
      </c>
    </row>
    <row r="29" spans="1:18" ht="17.25" customHeight="1">
      <c r="A29" s="49">
        <v>14.954237286195136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8" ht="17.25" customHeight="1">
      <c r="A30" s="49">
        <v>21.209604517021859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R30" s="51"/>
    </row>
    <row r="31" spans="1:18" ht="17.25" customHeight="1">
      <c r="A31" s="49">
        <v>27.464971747848583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R31" s="51"/>
    </row>
    <row r="32" spans="1:18" ht="17.25" customHeight="1">
      <c r="A32" s="49">
        <v>33.720338978675315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R32" s="51"/>
    </row>
    <row r="33" spans="1:18" ht="17.25" customHeight="1">
      <c r="A33" s="49">
        <v>39.975706209502029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R33" s="51"/>
    </row>
    <row r="34" spans="1:18" ht="17.25" customHeight="1">
      <c r="A34" s="49">
        <v>120.81899715946379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R34" s="51"/>
    </row>
    <row r="35" spans="1:18" ht="17.25" customHeight="1">
      <c r="A35" s="49">
        <v>127.61193501168972</v>
      </c>
      <c r="B35" s="52" t="s">
        <v>122</v>
      </c>
      <c r="R35" s="51"/>
    </row>
    <row r="36" spans="1:18" ht="17.25" customHeight="1">
      <c r="A36" s="49">
        <v>134.3926553497929</v>
      </c>
      <c r="B36" s="52" t="s">
        <v>123</v>
      </c>
      <c r="R36" s="51"/>
    </row>
    <row r="37" spans="1:18" ht="17.25" customHeight="1">
      <c r="A37" s="49">
        <v>175.7855931975291</v>
      </c>
      <c r="B37" s="52" t="s">
        <v>124</v>
      </c>
      <c r="R37" s="51"/>
    </row>
    <row r="38" spans="1:18" ht="17.25" customHeight="1">
      <c r="A38" s="49">
        <v>182.5663135356323</v>
      </c>
      <c r="B38" s="52" t="s">
        <v>125</v>
      </c>
      <c r="R38" s="51"/>
    </row>
    <row r="39" spans="1:18" ht="17.25" customHeight="1">
      <c r="A39" s="49">
        <v>189.35925138785819</v>
      </c>
      <c r="B39" s="52" t="s">
        <v>126</v>
      </c>
      <c r="R39" s="51"/>
    </row>
    <row r="40" spans="1:18" ht="17.25" customHeight="1">
      <c r="A40" s="49">
        <v>196.15218924008411</v>
      </c>
      <c r="B40" s="52" t="s">
        <v>127</v>
      </c>
      <c r="R40" s="51"/>
    </row>
    <row r="41" spans="1:18" ht="17.25" customHeight="1">
      <c r="A41" s="49">
        <v>215.40699149747255</v>
      </c>
      <c r="B41" s="52" t="s">
        <v>128</v>
      </c>
      <c r="R41" s="51"/>
    </row>
    <row r="42" spans="1:18" ht="17.25" customHeight="1">
      <c r="A42" s="49">
        <v>270.63015533211473</v>
      </c>
      <c r="B42" s="52" t="s">
        <v>129</v>
      </c>
      <c r="R42" s="51"/>
    </row>
    <row r="43" spans="1:18" ht="17.25" customHeight="1">
      <c r="A43" s="49">
        <v>277.42309318434064</v>
      </c>
      <c r="B43" s="52" t="s">
        <v>130</v>
      </c>
      <c r="R43" s="51"/>
    </row>
    <row r="44" spans="1:18" ht="17.25" customHeight="1">
      <c r="A44" s="49">
        <v>284.21603103656651</v>
      </c>
      <c r="B44" s="52" t="s">
        <v>131</v>
      </c>
      <c r="R44" s="51"/>
    </row>
    <row r="45" spans="1:18" ht="17.25" customHeight="1">
      <c r="A45" s="49">
        <v>291.00896888879242</v>
      </c>
      <c r="B45" s="52" t="s">
        <v>132</v>
      </c>
      <c r="R45" s="51"/>
    </row>
    <row r="46" spans="1:18" ht="17.25" customHeight="1">
      <c r="A46" s="49">
        <v>297.8019067410184</v>
      </c>
      <c r="B46" s="52" t="s">
        <v>133</v>
      </c>
      <c r="R46" s="51"/>
    </row>
    <row r="47" spans="1:18" ht="17.25" customHeight="1">
      <c r="A47" s="49">
        <v>325.34018357360321</v>
      </c>
      <c r="B47" s="52" t="s">
        <v>134</v>
      </c>
      <c r="R47" s="51"/>
    </row>
    <row r="48" spans="1:18" ht="17.25" customHeight="1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41"/>
      <c r="N78" s="41"/>
      <c r="O78" s="4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41"/>
      <c r="N79" s="41"/>
      <c r="O79" s="4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</row>
    <row r="84" spans="1:14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51"/>
    </row>
    <row r="85" spans="1:14">
      <c r="A85" s="51"/>
      <c r="B85" s="52"/>
      <c r="N85" s="51"/>
    </row>
    <row r="86" spans="1:14">
      <c r="A86" s="51"/>
      <c r="B86" s="52"/>
      <c r="N86" s="51"/>
    </row>
    <row r="87" spans="1:14">
      <c r="A87" s="51"/>
      <c r="B87" s="52"/>
      <c r="N87" s="51"/>
    </row>
    <row r="88" spans="1:14">
      <c r="A88" s="51"/>
      <c r="B88" s="52"/>
      <c r="N88" s="51"/>
    </row>
    <row r="89" spans="1:14">
      <c r="A89" s="51"/>
      <c r="B89" s="52"/>
      <c r="N89" s="51"/>
    </row>
    <row r="90" spans="1:14">
      <c r="A90" s="51"/>
      <c r="B90" s="52"/>
      <c r="N90" s="51"/>
    </row>
    <row r="91" spans="1:14">
      <c r="A91" s="51"/>
      <c r="B91" s="52"/>
      <c r="N91" s="51"/>
    </row>
    <row r="92" spans="1:14">
      <c r="A92" s="51"/>
      <c r="B92" s="52"/>
      <c r="N92" s="51"/>
    </row>
    <row r="93" spans="1:14">
      <c r="A93" s="51"/>
      <c r="B93" s="52"/>
      <c r="N93" s="51"/>
    </row>
    <row r="94" spans="1:14">
      <c r="A94" s="51"/>
      <c r="B94" s="52"/>
      <c r="N94" s="51"/>
    </row>
    <row r="95" spans="1:14">
      <c r="A95" s="51"/>
      <c r="B95" s="52"/>
      <c r="N95" s="51"/>
    </row>
    <row r="96" spans="1:14">
      <c r="A96" s="51"/>
      <c r="B96" s="52"/>
      <c r="N96" s="51"/>
    </row>
    <row r="97" spans="1:14">
      <c r="A97" s="51"/>
      <c r="B97" s="52"/>
      <c r="N97" s="51"/>
    </row>
    <row r="98" spans="1:14">
      <c r="B98" s="52"/>
      <c r="N98" s="51"/>
    </row>
    <row r="99" spans="1:14">
      <c r="B99" s="52"/>
      <c r="N99" s="51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R101"/>
  <sheetViews>
    <sheetView topLeftCell="A15" workbookViewId="0">
      <selection activeCell="Z13" sqref="Z13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4.140625" style="42" customWidth="1"/>
    <col min="7" max="12" width="6.5703125" style="42" customWidth="1"/>
    <col min="13" max="13" width="24.5703125" style="42" customWidth="1"/>
    <col min="14" max="14" width="11" style="42" bestFit="1" customWidth="1"/>
    <col min="15" max="15" width="6.5703125" style="42" customWidth="1"/>
    <col min="16" max="16384" width="9.140625" style="42"/>
  </cols>
  <sheetData>
    <row r="1" spans="1:14" ht="18.75">
      <c r="A1" s="55" t="s">
        <v>140</v>
      </c>
      <c r="B1" s="41"/>
      <c r="C1" s="41"/>
      <c r="D1" s="41"/>
      <c r="E1" s="41"/>
      <c r="F1" s="41"/>
      <c r="G1" s="41"/>
      <c r="H1" s="41"/>
    </row>
    <row r="2" spans="1:14">
      <c r="A2" s="43" t="s">
        <v>108</v>
      </c>
      <c r="B2" s="44"/>
      <c r="C2" s="44"/>
      <c r="D2" s="41"/>
      <c r="E2" s="41"/>
      <c r="F2" s="43" t="s">
        <v>80</v>
      </c>
      <c r="G2" s="41"/>
      <c r="H2" s="41"/>
      <c r="I2" s="41"/>
      <c r="J2" s="41"/>
      <c r="K2" s="41"/>
      <c r="L2" s="41"/>
      <c r="M2" s="41"/>
      <c r="N2" s="41"/>
    </row>
    <row r="3" spans="1:14" ht="30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5</v>
      </c>
      <c r="F3" s="44" t="s">
        <v>6</v>
      </c>
      <c r="G3" s="45" t="s">
        <v>7</v>
      </c>
      <c r="H3" s="45" t="s">
        <v>8</v>
      </c>
      <c r="I3" s="45" t="s">
        <v>9</v>
      </c>
      <c r="J3" s="45" t="s">
        <v>10</v>
      </c>
      <c r="K3" s="45" t="s">
        <v>11</v>
      </c>
      <c r="L3" s="45" t="s">
        <v>12</v>
      </c>
      <c r="M3" s="45"/>
      <c r="N3" s="45"/>
    </row>
    <row r="4" spans="1:14" ht="18.75" customHeight="1">
      <c r="A4" s="64" t="s">
        <v>157</v>
      </c>
      <c r="B4" s="46" t="s">
        <v>115</v>
      </c>
      <c r="C4" s="44" t="s">
        <v>156</v>
      </c>
      <c r="D4" s="42" t="s">
        <v>84</v>
      </c>
      <c r="E4" s="44"/>
      <c r="F4" s="44" t="s">
        <v>17</v>
      </c>
      <c r="G4" s="47">
        <v>1592.2090775839379</v>
      </c>
      <c r="H4" s="45"/>
      <c r="I4" s="45"/>
      <c r="J4" s="45"/>
      <c r="K4" s="45"/>
      <c r="L4" s="45"/>
      <c r="M4" s="45"/>
      <c r="N4" s="45"/>
    </row>
    <row r="5" spans="1:14" ht="18.75" customHeight="1">
      <c r="A5" s="46" t="s">
        <v>15</v>
      </c>
      <c r="B5" s="46" t="s">
        <v>115</v>
      </c>
      <c r="C5" s="44" t="s">
        <v>148</v>
      </c>
      <c r="D5" s="42" t="s">
        <v>16</v>
      </c>
      <c r="E5" s="42">
        <v>353</v>
      </c>
      <c r="F5" s="46" t="s">
        <v>17</v>
      </c>
      <c r="G5" s="47">
        <v>2274.5843965484828</v>
      </c>
      <c r="H5" s="47">
        <v>2365.5677724104221</v>
      </c>
      <c r="I5" s="47">
        <v>2460.1904833068393</v>
      </c>
      <c r="J5" s="47">
        <v>2558.5981026391128</v>
      </c>
      <c r="K5" s="47">
        <v>2660.9420267446776</v>
      </c>
      <c r="L5" s="47">
        <v>2767.3797078144648</v>
      </c>
    </row>
    <row r="6" spans="1:14" ht="18.75" customHeight="1">
      <c r="A6" s="46" t="s">
        <v>19</v>
      </c>
      <c r="B6" s="46" t="s">
        <v>115</v>
      </c>
      <c r="C6" s="44" t="s">
        <v>149</v>
      </c>
      <c r="D6" s="42" t="s">
        <v>20</v>
      </c>
      <c r="E6" s="42">
        <v>353</v>
      </c>
      <c r="F6" s="46" t="s">
        <v>17</v>
      </c>
      <c r="G6" s="47">
        <v>2274.5843965484828</v>
      </c>
      <c r="H6" s="47">
        <v>2365.5677724104221</v>
      </c>
      <c r="I6" s="47">
        <v>2460.1904833068393</v>
      </c>
      <c r="J6" s="47">
        <v>2558.5981026391128</v>
      </c>
      <c r="K6" s="47">
        <v>2660.9420267446776</v>
      </c>
      <c r="L6" s="47">
        <v>2767.3797078144648</v>
      </c>
    </row>
    <row r="7" spans="1:14" ht="18.75" customHeight="1">
      <c r="A7" s="46" t="s">
        <v>21</v>
      </c>
      <c r="B7" s="46" t="s">
        <v>115</v>
      </c>
      <c r="C7" s="44" t="s">
        <v>148</v>
      </c>
      <c r="D7" s="42" t="s">
        <v>22</v>
      </c>
      <c r="F7" s="46" t="s">
        <v>17</v>
      </c>
      <c r="G7" s="47">
        <v>2274.5843965484828</v>
      </c>
      <c r="H7" s="47">
        <v>2365.5677724104221</v>
      </c>
      <c r="I7" s="47">
        <v>2460.1904833068393</v>
      </c>
      <c r="J7" s="47">
        <v>2558.5981026391128</v>
      </c>
      <c r="K7" s="47">
        <v>2660.9420267446776</v>
      </c>
      <c r="L7" s="47">
        <v>2767.3797078144648</v>
      </c>
    </row>
    <row r="8" spans="1:14" ht="18.75" customHeight="1">
      <c r="A8" s="46" t="s">
        <v>23</v>
      </c>
      <c r="B8" s="46" t="s">
        <v>115</v>
      </c>
      <c r="C8" s="44" t="s">
        <v>150</v>
      </c>
      <c r="D8" s="42" t="s">
        <v>24</v>
      </c>
      <c r="F8" s="46" t="s">
        <v>17</v>
      </c>
      <c r="G8" s="47">
        <v>2819.6440420733989</v>
      </c>
      <c r="H8" s="47">
        <v>2930.3668010666574</v>
      </c>
      <c r="I8" s="47">
        <v>3108.4071795216255</v>
      </c>
      <c r="J8" s="47"/>
      <c r="K8" s="47"/>
      <c r="L8" s="47"/>
    </row>
    <row r="9" spans="1:14" ht="18.75" customHeight="1">
      <c r="A9" s="46" t="s">
        <v>77</v>
      </c>
      <c r="B9" s="46" t="s">
        <v>115</v>
      </c>
      <c r="C9" s="44" t="s">
        <v>151</v>
      </c>
      <c r="D9" s="42" t="s">
        <v>26</v>
      </c>
      <c r="F9" s="46" t="s">
        <v>17</v>
      </c>
      <c r="G9" s="47">
        <v>2819.6440420733989</v>
      </c>
      <c r="H9" s="47">
        <v>2930.3668010666574</v>
      </c>
      <c r="I9" s="47">
        <v>3108.4071795216255</v>
      </c>
      <c r="J9" s="47"/>
      <c r="K9" s="47"/>
      <c r="L9" s="47"/>
    </row>
    <row r="10" spans="1:14" ht="18.75" customHeight="1">
      <c r="A10" s="46" t="s">
        <v>27</v>
      </c>
      <c r="B10" s="46" t="s">
        <v>115</v>
      </c>
      <c r="C10" s="44" t="s">
        <v>150</v>
      </c>
      <c r="D10" s="42" t="s">
        <v>28</v>
      </c>
      <c r="F10" s="46" t="s">
        <v>17</v>
      </c>
      <c r="G10" s="47">
        <v>2819.6440420733989</v>
      </c>
      <c r="H10" s="47">
        <v>2930.3668010666574</v>
      </c>
      <c r="I10" s="47">
        <v>3108.4071795216255</v>
      </c>
      <c r="J10" s="47"/>
      <c r="K10" s="47"/>
      <c r="L10" s="47"/>
    </row>
    <row r="11" spans="1:14" ht="18.75" customHeight="1">
      <c r="A11" s="46" t="s">
        <v>29</v>
      </c>
      <c r="B11" s="46" t="s">
        <v>115</v>
      </c>
      <c r="C11" s="44" t="s">
        <v>152</v>
      </c>
      <c r="D11" s="42" t="s">
        <v>30</v>
      </c>
      <c r="F11" s="46" t="s">
        <v>17</v>
      </c>
      <c r="G11" s="47">
        <v>3196.1014226504758</v>
      </c>
      <c r="H11" s="47">
        <v>3322.8174690538713</v>
      </c>
      <c r="I11" s="47">
        <v>3526.197292461763</v>
      </c>
      <c r="J11" s="47"/>
      <c r="K11" s="47"/>
      <c r="L11" s="47"/>
    </row>
    <row r="12" spans="1:14" ht="18.75" customHeight="1">
      <c r="A12" s="46" t="s">
        <v>31</v>
      </c>
      <c r="B12" s="46" t="s">
        <v>115</v>
      </c>
      <c r="C12" s="44" t="s">
        <v>153</v>
      </c>
      <c r="D12" s="42" t="s">
        <v>32</v>
      </c>
      <c r="F12" s="46" t="s">
        <v>17</v>
      </c>
      <c r="G12" s="47">
        <v>3196.1014226504758</v>
      </c>
      <c r="H12" s="47">
        <v>3322.8174690538713</v>
      </c>
      <c r="I12" s="47">
        <v>3526.197292461763</v>
      </c>
      <c r="J12" s="47"/>
      <c r="K12" s="47"/>
      <c r="L12" s="47"/>
    </row>
    <row r="13" spans="1:14" ht="18.75" customHeight="1">
      <c r="A13" s="46" t="s">
        <v>33</v>
      </c>
      <c r="B13" s="46" t="s">
        <v>115</v>
      </c>
      <c r="C13" s="44" t="s">
        <v>152</v>
      </c>
      <c r="D13" s="42" t="s">
        <v>34</v>
      </c>
      <c r="F13" s="46" t="s">
        <v>17</v>
      </c>
      <c r="G13" s="47">
        <v>3196.1014226504758</v>
      </c>
      <c r="H13" s="47">
        <v>3322.8174690538713</v>
      </c>
      <c r="I13" s="47">
        <v>3526.197292461763</v>
      </c>
      <c r="J13" s="47"/>
      <c r="K13" s="47"/>
      <c r="L13" s="47"/>
    </row>
    <row r="14" spans="1:14" ht="18.75" customHeight="1">
      <c r="A14" s="46" t="s">
        <v>35</v>
      </c>
      <c r="B14" s="46" t="s">
        <v>115</v>
      </c>
      <c r="C14" s="44" t="s">
        <v>153</v>
      </c>
      <c r="D14" s="42" t="s">
        <v>36</v>
      </c>
      <c r="F14" s="46" t="s">
        <v>17</v>
      </c>
      <c r="G14" s="47">
        <v>3196.1014226504758</v>
      </c>
      <c r="H14" s="47">
        <v>3322.8174690538713</v>
      </c>
      <c r="I14" s="47">
        <v>3526.197292461763</v>
      </c>
      <c r="J14" s="47"/>
      <c r="K14" s="47"/>
      <c r="L14" s="47"/>
    </row>
    <row r="15" spans="1:14" ht="18.75" customHeight="1">
      <c r="A15" s="46" t="s">
        <v>37</v>
      </c>
      <c r="B15" s="46" t="s">
        <v>115</v>
      </c>
      <c r="C15" s="44" t="s">
        <v>152</v>
      </c>
      <c r="D15" s="42" t="s">
        <v>38</v>
      </c>
      <c r="F15" s="46" t="s">
        <v>17</v>
      </c>
      <c r="G15" s="47">
        <v>3196.1014226504758</v>
      </c>
      <c r="H15" s="47">
        <v>3322.8174690538713</v>
      </c>
      <c r="I15" s="47">
        <v>3526.197292461763</v>
      </c>
      <c r="J15" s="47"/>
      <c r="K15" s="47"/>
      <c r="L15" s="47"/>
    </row>
    <row r="16" spans="1:14" ht="18.75" customHeight="1">
      <c r="A16" s="46" t="s">
        <v>41</v>
      </c>
      <c r="B16" s="46" t="s">
        <v>115</v>
      </c>
      <c r="C16" s="44" t="s">
        <v>154</v>
      </c>
      <c r="D16" s="48" t="s">
        <v>113</v>
      </c>
      <c r="F16" s="46" t="s">
        <v>17</v>
      </c>
      <c r="G16" s="47">
        <v>3271.1468481903503</v>
      </c>
      <c r="H16" s="47">
        <v>3326.5082276869798</v>
      </c>
      <c r="I16" s="47">
        <v>3383.0998600613116</v>
      </c>
      <c r="J16" s="47">
        <v>3439.6914924356438</v>
      </c>
      <c r="K16" s="47">
        <v>3649.5208800163819</v>
      </c>
      <c r="L16" s="47"/>
    </row>
    <row r="17" spans="1:18" ht="18.75" customHeight="1">
      <c r="A17" s="46" t="s">
        <v>39</v>
      </c>
      <c r="B17" s="46" t="s">
        <v>115</v>
      </c>
      <c r="C17" s="44" t="s">
        <v>155</v>
      </c>
      <c r="D17" s="42" t="s">
        <v>42</v>
      </c>
      <c r="E17" s="41"/>
      <c r="F17" s="46" t="s">
        <v>17</v>
      </c>
      <c r="G17" s="47">
        <v>3271.1468481903503</v>
      </c>
      <c r="H17" s="47">
        <v>3326.5082276869798</v>
      </c>
      <c r="I17" s="47">
        <v>3383.0998600613116</v>
      </c>
      <c r="J17" s="47">
        <v>3439.6914924356438</v>
      </c>
      <c r="K17" s="47">
        <v>3649.5208800163819</v>
      </c>
      <c r="L17" s="47"/>
    </row>
    <row r="18" spans="1:18" ht="27.75" customHeight="1">
      <c r="A18" s="42" t="s">
        <v>106</v>
      </c>
      <c r="C18" s="46"/>
      <c r="G18" s="46"/>
      <c r="H18" s="46"/>
      <c r="I18" s="46"/>
      <c r="J18" s="46"/>
      <c r="K18" s="46"/>
      <c r="L18" s="46"/>
      <c r="M18" s="46"/>
    </row>
    <row r="19" spans="1:18" ht="17.25" customHeight="1">
      <c r="B19" s="49">
        <v>0.89346680779366849</v>
      </c>
      <c r="C19" s="50" t="s">
        <v>45</v>
      </c>
      <c r="G19" s="46"/>
      <c r="H19" s="46"/>
      <c r="I19" s="46"/>
      <c r="J19" s="46"/>
      <c r="K19" s="46"/>
      <c r="L19" s="46"/>
      <c r="M19" s="46"/>
      <c r="R19" s="46"/>
    </row>
    <row r="20" spans="1:18" ht="17.25" customHeight="1">
      <c r="B20" s="49">
        <v>0.39010522593808067</v>
      </c>
      <c r="C20" s="50" t="s">
        <v>46</v>
      </c>
      <c r="G20" s="46"/>
      <c r="H20" s="46"/>
      <c r="I20" s="46"/>
      <c r="J20" s="46"/>
      <c r="K20" s="46"/>
      <c r="L20" s="46"/>
      <c r="M20" s="46"/>
      <c r="R20" s="46"/>
    </row>
    <row r="21" spans="1:18" ht="17.25" customHeight="1">
      <c r="A21" s="42" t="s">
        <v>111</v>
      </c>
      <c r="C21" s="46"/>
      <c r="G21" s="46"/>
      <c r="H21" s="46"/>
      <c r="I21" s="46"/>
      <c r="J21" s="46"/>
      <c r="K21" s="46"/>
      <c r="L21" s="46"/>
      <c r="M21" s="46"/>
    </row>
    <row r="22" spans="1:18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  <c r="M22" s="46"/>
    </row>
    <row r="23" spans="1:18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46"/>
    </row>
    <row r="24" spans="1:18">
      <c r="A24" s="50" t="s">
        <v>50</v>
      </c>
      <c r="C24" s="46"/>
      <c r="G24" s="46"/>
      <c r="H24" s="46"/>
      <c r="I24" s="46"/>
      <c r="J24" s="46"/>
      <c r="K24" s="46"/>
      <c r="L24" s="46"/>
      <c r="M24" s="46"/>
    </row>
    <row r="25" spans="1:18">
      <c r="A25" s="42" t="s">
        <v>51</v>
      </c>
      <c r="C25" s="46"/>
      <c r="G25" s="46"/>
      <c r="H25" s="46"/>
      <c r="I25" s="46"/>
      <c r="J25" s="46"/>
      <c r="K25" s="46"/>
      <c r="L25" s="46"/>
      <c r="M25" s="46"/>
    </row>
    <row r="26" spans="1:18">
      <c r="A26" s="50" t="s">
        <v>52</v>
      </c>
      <c r="B26" s="46"/>
      <c r="C26" s="46"/>
    </row>
    <row r="27" spans="1:18">
      <c r="A27" s="50"/>
      <c r="B27" s="46"/>
      <c r="C27" s="46"/>
    </row>
    <row r="28" spans="1:18" ht="27.75" customHeight="1">
      <c r="A28" s="41" t="s">
        <v>136</v>
      </c>
      <c r="B28" s="42" t="s">
        <v>139</v>
      </c>
      <c r="M28" s="68" t="s">
        <v>147</v>
      </c>
      <c r="N28" s="68" t="s">
        <v>145</v>
      </c>
    </row>
    <row r="29" spans="1:18" ht="17.25" customHeight="1">
      <c r="A29" s="49">
        <v>15.40286440478099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69">
        <f>A29/109.2</f>
        <v>0.14105187183865375</v>
      </c>
      <c r="N29" s="70">
        <f>A29/80</f>
        <v>0.19253580505976237</v>
      </c>
    </row>
    <row r="30" spans="1:18" ht="17.25" customHeight="1">
      <c r="A30" s="49">
        <v>21.845892652532516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69">
        <f t="shared" ref="M30:M47" si="0">A30/109.2</f>
        <v>0.20005396201952852</v>
      </c>
      <c r="N30" s="69">
        <f t="shared" ref="N30:N47" si="1">A30/80</f>
        <v>0.27307365815665646</v>
      </c>
      <c r="R30" s="51"/>
    </row>
    <row r="31" spans="1:18" ht="17.25" customHeight="1">
      <c r="A31" s="49">
        <v>28.28892090028404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69">
        <f t="shared" si="0"/>
        <v>0.25905605220040329</v>
      </c>
      <c r="N31" s="69">
        <f t="shared" si="1"/>
        <v>0.3536115112535505</v>
      </c>
      <c r="R31" s="51"/>
    </row>
    <row r="32" spans="1:18" ht="17.25" customHeight="1">
      <c r="A32" s="49">
        <v>34.731949148035575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69">
        <f t="shared" si="0"/>
        <v>0.31805814238127816</v>
      </c>
      <c r="N32" s="69">
        <f t="shared" si="1"/>
        <v>0.43414936435044471</v>
      </c>
      <c r="R32" s="51"/>
    </row>
    <row r="33" spans="1:18" ht="17.25" customHeight="1">
      <c r="A33" s="49">
        <v>41.174977395787089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69">
        <f t="shared" si="0"/>
        <v>0.37706023256215282</v>
      </c>
      <c r="N33" s="69">
        <f t="shared" si="1"/>
        <v>0.51468721744733859</v>
      </c>
      <c r="R33" s="51"/>
    </row>
    <row r="34" spans="1:18" ht="17.25" customHeight="1">
      <c r="A34" s="49">
        <v>124.44356707424771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69">
        <f t="shared" si="0"/>
        <v>1.1395931050755284</v>
      </c>
      <c r="N34" s="69">
        <f t="shared" si="1"/>
        <v>1.5555445884280963</v>
      </c>
      <c r="R34" s="51"/>
    </row>
    <row r="35" spans="1:18" ht="17.25" customHeight="1">
      <c r="A35" s="49">
        <v>131.44029306204041</v>
      </c>
      <c r="B35" s="52" t="s">
        <v>122</v>
      </c>
      <c r="M35" s="69">
        <f t="shared" si="0"/>
        <v>1.2036656873813225</v>
      </c>
      <c r="N35" s="69">
        <f t="shared" si="1"/>
        <v>1.6430036632755052</v>
      </c>
      <c r="R35" s="51"/>
    </row>
    <row r="36" spans="1:18" ht="17.25" customHeight="1">
      <c r="A36" s="49">
        <v>138.42443501028669</v>
      </c>
      <c r="B36" s="52" t="s">
        <v>123</v>
      </c>
      <c r="M36" s="69">
        <f t="shared" si="0"/>
        <v>1.2676230312297316</v>
      </c>
      <c r="N36" s="69">
        <f t="shared" si="1"/>
        <v>1.7303054376285836</v>
      </c>
      <c r="R36" s="51"/>
    </row>
    <row r="37" spans="1:18" ht="17.25" customHeight="1">
      <c r="A37" s="49">
        <v>181.05916099345498</v>
      </c>
      <c r="B37" s="52" t="s">
        <v>124</v>
      </c>
      <c r="M37" s="69">
        <f t="shared" si="0"/>
        <v>1.6580509248484887</v>
      </c>
      <c r="N37" s="69">
        <f t="shared" si="1"/>
        <v>2.2632395124181874</v>
      </c>
      <c r="R37" s="51"/>
    </row>
    <row r="38" spans="1:18" ht="17.25" customHeight="1">
      <c r="A38" s="49">
        <v>188.04330294170128</v>
      </c>
      <c r="B38" s="52" t="s">
        <v>125</v>
      </c>
      <c r="M38" s="69">
        <f t="shared" si="0"/>
        <v>1.7220082686968983</v>
      </c>
      <c r="N38" s="69">
        <f t="shared" si="1"/>
        <v>2.3505412867712661</v>
      </c>
      <c r="R38" s="51"/>
    </row>
    <row r="39" spans="1:18" ht="17.25" customHeight="1">
      <c r="A39" s="49">
        <v>195.04002892949396</v>
      </c>
      <c r="B39" s="52" t="s">
        <v>126</v>
      </c>
      <c r="M39" s="69">
        <f t="shared" si="0"/>
        <v>1.7860808510026918</v>
      </c>
      <c r="N39" s="69">
        <f t="shared" si="1"/>
        <v>2.4380003616186743</v>
      </c>
      <c r="R39" s="51"/>
    </row>
    <row r="40" spans="1:18" ht="17.25" customHeight="1">
      <c r="A40" s="49">
        <v>202.03675491728663</v>
      </c>
      <c r="B40" s="52" t="s">
        <v>127</v>
      </c>
      <c r="M40" s="69">
        <f t="shared" si="0"/>
        <v>1.8501534333084855</v>
      </c>
      <c r="N40" s="69">
        <f t="shared" si="1"/>
        <v>2.525459436466083</v>
      </c>
      <c r="R40" s="51"/>
    </row>
    <row r="41" spans="1:18" ht="17.25" customHeight="1">
      <c r="A41" s="49">
        <v>221.86920124239674</v>
      </c>
      <c r="B41" s="52" t="s">
        <v>128</v>
      </c>
      <c r="M41" s="69">
        <f t="shared" si="0"/>
        <v>2.0317692421464901</v>
      </c>
      <c r="N41" s="69">
        <f t="shared" si="1"/>
        <v>2.7733650155299592</v>
      </c>
      <c r="R41" s="51"/>
    </row>
    <row r="42" spans="1:18" ht="17.25" customHeight="1">
      <c r="A42" s="49">
        <v>278.74905999207817</v>
      </c>
      <c r="B42" s="52" t="s">
        <v>129</v>
      </c>
      <c r="M42" s="69">
        <f t="shared" si="0"/>
        <v>2.5526470695245251</v>
      </c>
      <c r="N42" s="69">
        <f t="shared" si="1"/>
        <v>3.4843632499009773</v>
      </c>
      <c r="R42" s="51"/>
    </row>
    <row r="43" spans="1:18" ht="17.25" customHeight="1">
      <c r="A43" s="49">
        <v>285.74578597987085</v>
      </c>
      <c r="B43" s="52" t="s">
        <v>130</v>
      </c>
      <c r="M43" s="69">
        <f t="shared" si="0"/>
        <v>2.6167196518303188</v>
      </c>
      <c r="N43" s="69">
        <f t="shared" si="1"/>
        <v>3.5718223247483856</v>
      </c>
      <c r="R43" s="51"/>
    </row>
    <row r="44" spans="1:18" ht="17.25" customHeight="1">
      <c r="A44" s="49">
        <v>292.74251196766352</v>
      </c>
      <c r="B44" s="52" t="s">
        <v>131</v>
      </c>
      <c r="M44" s="69">
        <f t="shared" si="0"/>
        <v>2.6807922341361126</v>
      </c>
      <c r="N44" s="69">
        <f t="shared" si="1"/>
        <v>3.6592813995957938</v>
      </c>
      <c r="R44" s="51"/>
    </row>
    <row r="45" spans="1:18" ht="17.25" customHeight="1">
      <c r="A45" s="49">
        <v>299.73923795545619</v>
      </c>
      <c r="B45" s="52" t="s">
        <v>132</v>
      </c>
      <c r="M45" s="69">
        <f t="shared" si="0"/>
        <v>2.7448648164419063</v>
      </c>
      <c r="N45" s="69">
        <f t="shared" si="1"/>
        <v>3.7467404744432025</v>
      </c>
      <c r="R45" s="51"/>
    </row>
    <row r="46" spans="1:18" ht="17.25" customHeight="1">
      <c r="A46" s="49">
        <v>306.73596394324898</v>
      </c>
      <c r="B46" s="52" t="s">
        <v>133</v>
      </c>
      <c r="M46" s="69">
        <f t="shared" si="0"/>
        <v>2.8089373987477013</v>
      </c>
      <c r="N46" s="69">
        <f t="shared" si="1"/>
        <v>3.834199549290612</v>
      </c>
      <c r="R46" s="51"/>
    </row>
    <row r="47" spans="1:18" ht="17.25" customHeight="1">
      <c r="A47" s="49">
        <v>335.10038908081134</v>
      </c>
      <c r="B47" s="52" t="s">
        <v>134</v>
      </c>
      <c r="M47" s="69">
        <f t="shared" si="0"/>
        <v>3.0686848816924113</v>
      </c>
      <c r="N47" s="69">
        <f t="shared" si="1"/>
        <v>4.1887548635101419</v>
      </c>
      <c r="R47" s="51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41"/>
      <c r="N78" s="41"/>
      <c r="O78" s="4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41"/>
      <c r="N79" s="41"/>
      <c r="O79" s="4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</row>
    <row r="84" spans="1:14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51"/>
    </row>
    <row r="85" spans="1:14">
      <c r="A85" s="51"/>
      <c r="B85" s="52"/>
      <c r="N85" s="51"/>
    </row>
    <row r="86" spans="1:14">
      <c r="A86" s="51"/>
      <c r="B86" s="52"/>
      <c r="N86" s="51"/>
    </row>
    <row r="87" spans="1:14">
      <c r="A87" s="51"/>
      <c r="B87" s="52"/>
      <c r="N87" s="51"/>
    </row>
    <row r="88" spans="1:14">
      <c r="A88" s="51"/>
      <c r="B88" s="52"/>
      <c r="N88" s="51"/>
    </row>
    <row r="89" spans="1:14">
      <c r="A89" s="51"/>
      <c r="B89" s="52"/>
      <c r="N89" s="51"/>
    </row>
    <row r="90" spans="1:14">
      <c r="A90" s="51"/>
      <c r="B90" s="52"/>
      <c r="N90" s="51"/>
    </row>
    <row r="91" spans="1:14">
      <c r="A91" s="51"/>
      <c r="B91" s="52"/>
      <c r="N91" s="51"/>
    </row>
    <row r="92" spans="1:14">
      <c r="A92" s="51"/>
      <c r="B92" s="52"/>
      <c r="N92" s="51"/>
    </row>
    <row r="93" spans="1:14">
      <c r="A93" s="51"/>
      <c r="B93" s="52"/>
      <c r="N93" s="51"/>
    </row>
    <row r="94" spans="1:14">
      <c r="A94" s="51"/>
      <c r="B94" s="52"/>
      <c r="N94" s="51"/>
    </row>
    <row r="95" spans="1:14">
      <c r="A95" s="51"/>
      <c r="B95" s="52"/>
      <c r="N95" s="51"/>
    </row>
    <row r="96" spans="1:14">
      <c r="A96" s="51"/>
      <c r="B96" s="52"/>
      <c r="N96" s="51"/>
    </row>
    <row r="97" spans="1:14">
      <c r="A97" s="51"/>
      <c r="B97" s="52"/>
      <c r="N97" s="51"/>
    </row>
    <row r="98" spans="1:14">
      <c r="B98" s="52"/>
      <c r="N98" s="51"/>
    </row>
    <row r="99" spans="1:14">
      <c r="B99" s="52"/>
      <c r="N99" s="51"/>
    </row>
    <row r="100" spans="1:14">
      <c r="B100" s="52"/>
    </row>
    <row r="101" spans="1:14">
      <c r="B101" s="52"/>
    </row>
  </sheetData>
  <sheetProtection password="E3B7" sheet="1" objects="1" scenarios="1"/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W101"/>
  <sheetViews>
    <sheetView topLeftCell="A34" workbookViewId="0">
      <selection activeCell="A46" sqref="A46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4.140625" style="42" customWidth="1"/>
    <col min="7" max="12" width="6.5703125" style="42" customWidth="1"/>
    <col min="13" max="13" width="24.5703125" style="67" customWidth="1"/>
    <col min="14" max="14" width="15.5703125" style="67" hidden="1" customWidth="1"/>
    <col min="15" max="15" width="6.5703125" style="67" hidden="1" customWidth="1"/>
    <col min="16" max="18" width="0" style="67" hidden="1" customWidth="1"/>
    <col min="19" max="22" width="9.140625" style="67" hidden="1" customWidth="1"/>
    <col min="23" max="23" width="9.140625" style="42" hidden="1" customWidth="1"/>
    <col min="24" max="16384" width="9.140625" style="42"/>
  </cols>
  <sheetData>
    <row r="1" spans="1:21" ht="18.75">
      <c r="A1" s="55" t="s">
        <v>140</v>
      </c>
      <c r="B1" s="41"/>
      <c r="C1" s="41"/>
      <c r="D1" s="41"/>
      <c r="E1" s="41"/>
      <c r="F1" s="41"/>
      <c r="G1" s="41"/>
      <c r="H1" s="41"/>
    </row>
    <row r="2" spans="1:21">
      <c r="A2" s="43" t="s">
        <v>142</v>
      </c>
      <c r="B2" s="44"/>
      <c r="C2" s="44"/>
      <c r="D2" s="41"/>
      <c r="E2" s="41"/>
      <c r="F2" s="41" t="s">
        <v>80</v>
      </c>
      <c r="G2" s="41"/>
      <c r="H2" s="41"/>
      <c r="I2" s="41"/>
      <c r="J2" s="41"/>
      <c r="K2" s="41"/>
      <c r="L2" s="41"/>
      <c r="M2" s="71"/>
      <c r="N2" s="71"/>
    </row>
    <row r="3" spans="1:21" ht="30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5</v>
      </c>
      <c r="F3" s="44" t="s">
        <v>6</v>
      </c>
      <c r="G3" s="45" t="s">
        <v>7</v>
      </c>
      <c r="H3" s="45" t="s">
        <v>8</v>
      </c>
      <c r="I3" s="45" t="s">
        <v>9</v>
      </c>
      <c r="J3" s="45" t="s">
        <v>10</v>
      </c>
      <c r="K3" s="45" t="s">
        <v>11</v>
      </c>
      <c r="L3" s="45" t="s">
        <v>12</v>
      </c>
      <c r="M3" s="72"/>
      <c r="N3" s="72"/>
      <c r="P3" s="72" t="s">
        <v>7</v>
      </c>
      <c r="Q3" s="72" t="s">
        <v>8</v>
      </c>
      <c r="R3" s="72" t="s">
        <v>9</v>
      </c>
      <c r="S3" s="72" t="s">
        <v>10</v>
      </c>
      <c r="T3" s="72" t="s">
        <v>11</v>
      </c>
      <c r="U3" s="72" t="s">
        <v>12</v>
      </c>
    </row>
    <row r="4" spans="1:21" ht="18.75" customHeight="1">
      <c r="A4" s="64" t="s">
        <v>157</v>
      </c>
      <c r="B4" s="46" t="s">
        <v>115</v>
      </c>
      <c r="C4" s="44" t="s">
        <v>156</v>
      </c>
      <c r="D4" s="42" t="s">
        <v>84</v>
      </c>
      <c r="E4" s="44"/>
      <c r="F4" s="44" t="s">
        <v>17</v>
      </c>
      <c r="G4" s="47">
        <v>1624.0532591356168</v>
      </c>
      <c r="H4" s="45"/>
      <c r="I4" s="45"/>
      <c r="J4" s="45"/>
      <c r="K4" s="45"/>
      <c r="L4" s="45"/>
      <c r="M4" s="72" t="s">
        <v>143</v>
      </c>
      <c r="N4" s="72" t="s">
        <v>145</v>
      </c>
      <c r="O4" s="67">
        <v>5</v>
      </c>
      <c r="P4" s="73">
        <f>G4/80</f>
        <v>20.30066573919521</v>
      </c>
      <c r="Q4" s="73"/>
      <c r="R4" s="73"/>
      <c r="S4" s="73"/>
      <c r="T4" s="73"/>
      <c r="U4" s="73"/>
    </row>
    <row r="5" spans="1:21" ht="18.75" customHeight="1">
      <c r="A5" s="46" t="s">
        <v>15</v>
      </c>
      <c r="B5" s="46" t="s">
        <v>115</v>
      </c>
      <c r="C5" s="44" t="s">
        <v>148</v>
      </c>
      <c r="D5" s="42" t="s">
        <v>16</v>
      </c>
      <c r="E5" s="42">
        <v>353</v>
      </c>
      <c r="F5" s="46" t="s">
        <v>17</v>
      </c>
      <c r="G5" s="47">
        <v>2320.0760844794527</v>
      </c>
      <c r="H5" s="47">
        <v>2412.8791278586305</v>
      </c>
      <c r="I5" s="47">
        <v>2509.394292972976</v>
      </c>
      <c r="J5" s="47">
        <v>2609.7700646918952</v>
      </c>
      <c r="K5" s="47">
        <v>2714.160867279571</v>
      </c>
      <c r="L5" s="47">
        <v>2822.7273019707541</v>
      </c>
      <c r="M5" s="79" t="s">
        <v>144</v>
      </c>
      <c r="N5" s="67" t="s">
        <v>146</v>
      </c>
      <c r="P5" s="73">
        <f>G5/109.2</f>
        <v>21.246117989738575</v>
      </c>
      <c r="Q5" s="73">
        <f t="shared" ref="Q5:U5" si="0">H5/109.2</f>
        <v>22.095962709328116</v>
      </c>
      <c r="R5" s="73">
        <f t="shared" si="0"/>
        <v>22.979801217701244</v>
      </c>
      <c r="S5" s="73">
        <f t="shared" si="0"/>
        <v>23.898993266409295</v>
      </c>
      <c r="T5" s="73">
        <f t="shared" si="0"/>
        <v>24.854952997065666</v>
      </c>
      <c r="U5" s="73">
        <f t="shared" si="0"/>
        <v>25.849151116948295</v>
      </c>
    </row>
    <row r="6" spans="1:21" ht="18.75" customHeight="1">
      <c r="A6" s="46" t="s">
        <v>19</v>
      </c>
      <c r="B6" s="46" t="s">
        <v>115</v>
      </c>
      <c r="C6" s="44" t="s">
        <v>149</v>
      </c>
      <c r="D6" s="42" t="s">
        <v>20</v>
      </c>
      <c r="E6" s="42">
        <v>353</v>
      </c>
      <c r="F6" s="46" t="s">
        <v>17</v>
      </c>
      <c r="G6" s="47">
        <v>2320.0760844794527</v>
      </c>
      <c r="H6" s="47">
        <v>2412.8791278586305</v>
      </c>
      <c r="I6" s="47">
        <v>2509.394292972976</v>
      </c>
      <c r="J6" s="47">
        <v>2609.7700646918952</v>
      </c>
      <c r="K6" s="47">
        <v>2714.160867279571</v>
      </c>
      <c r="L6" s="47">
        <v>2822.7273019707541</v>
      </c>
      <c r="M6" s="72" t="s">
        <v>143</v>
      </c>
      <c r="N6" s="67" t="s">
        <v>145</v>
      </c>
      <c r="P6" s="73">
        <f t="shared" ref="P6:U6" si="1">G6/80</f>
        <v>29.000951055993159</v>
      </c>
      <c r="Q6" s="73">
        <f t="shared" si="1"/>
        <v>30.160989098232882</v>
      </c>
      <c r="R6" s="73">
        <f t="shared" si="1"/>
        <v>31.367428662162201</v>
      </c>
      <c r="S6" s="73">
        <f t="shared" si="1"/>
        <v>32.62212580864869</v>
      </c>
      <c r="T6" s="73">
        <f t="shared" si="1"/>
        <v>33.92701084099464</v>
      </c>
      <c r="U6" s="73">
        <f t="shared" si="1"/>
        <v>35.284091274634427</v>
      </c>
    </row>
    <row r="7" spans="1:21" ht="18.75" customHeight="1">
      <c r="A7" s="46" t="s">
        <v>21</v>
      </c>
      <c r="B7" s="46" t="s">
        <v>115</v>
      </c>
      <c r="C7" s="44" t="s">
        <v>148</v>
      </c>
      <c r="D7" s="42" t="s">
        <v>22</v>
      </c>
      <c r="F7" s="46" t="s">
        <v>17</v>
      </c>
      <c r="G7" s="47">
        <v>2320.0760844794527</v>
      </c>
      <c r="H7" s="47">
        <v>2412.8791278586305</v>
      </c>
      <c r="I7" s="47">
        <v>2509.394292972976</v>
      </c>
      <c r="J7" s="47">
        <v>2609.7700646918952</v>
      </c>
      <c r="K7" s="47">
        <v>2714.160867279571</v>
      </c>
      <c r="L7" s="47">
        <v>2822.7273019707541</v>
      </c>
      <c r="M7" s="79" t="s">
        <v>144</v>
      </c>
      <c r="N7" s="67" t="s">
        <v>146</v>
      </c>
      <c r="P7" s="73">
        <f t="shared" ref="P7:P8" si="2">G7/109.2</f>
        <v>21.246117989738575</v>
      </c>
      <c r="Q7" s="73">
        <f t="shared" ref="Q7:Q8" si="3">H7/109.2</f>
        <v>22.095962709328116</v>
      </c>
      <c r="R7" s="73">
        <f t="shared" ref="R7:R8" si="4">I7/109.2</f>
        <v>22.979801217701244</v>
      </c>
      <c r="S7" s="73">
        <f t="shared" ref="S7:S8" si="5">J7/109.2</f>
        <v>23.898993266409295</v>
      </c>
      <c r="T7" s="73">
        <f t="shared" ref="T7:T8" si="6">K7/109.2</f>
        <v>24.854952997065666</v>
      </c>
      <c r="U7" s="73">
        <f t="shared" ref="U7" si="7">L7/109.2</f>
        <v>25.849151116948295</v>
      </c>
    </row>
    <row r="8" spans="1:21" ht="18.75" customHeight="1">
      <c r="A8" s="46" t="s">
        <v>23</v>
      </c>
      <c r="B8" s="46" t="s">
        <v>115</v>
      </c>
      <c r="C8" s="44" t="s">
        <v>150</v>
      </c>
      <c r="D8" s="42" t="s">
        <v>24</v>
      </c>
      <c r="F8" s="46" t="s">
        <v>17</v>
      </c>
      <c r="G8" s="47">
        <v>2876.0369229148669</v>
      </c>
      <c r="H8" s="47">
        <v>2988.9741370879906</v>
      </c>
      <c r="I8" s="47">
        <v>3170.575323112058</v>
      </c>
      <c r="J8" s="47"/>
      <c r="K8" s="47"/>
      <c r="L8" s="47"/>
      <c r="M8" s="79" t="s">
        <v>144</v>
      </c>
      <c r="N8" s="67" t="s">
        <v>146</v>
      </c>
      <c r="P8" s="73">
        <f t="shared" si="2"/>
        <v>26.337334458927351</v>
      </c>
      <c r="Q8" s="73">
        <f t="shared" si="3"/>
        <v>27.371558031941305</v>
      </c>
      <c r="R8" s="73">
        <f t="shared" si="4"/>
        <v>29.034572555971227</v>
      </c>
      <c r="S8" s="73">
        <f t="shared" si="5"/>
        <v>0</v>
      </c>
      <c r="T8" s="73">
        <f t="shared" si="6"/>
        <v>0</v>
      </c>
      <c r="U8" s="73"/>
    </row>
    <row r="9" spans="1:21" ht="18.75" customHeight="1">
      <c r="A9" s="46" t="s">
        <v>77</v>
      </c>
      <c r="B9" s="46" t="s">
        <v>115</v>
      </c>
      <c r="C9" s="44" t="s">
        <v>151</v>
      </c>
      <c r="D9" s="42" t="s">
        <v>26</v>
      </c>
      <c r="F9" s="46" t="s">
        <v>17</v>
      </c>
      <c r="G9" s="47">
        <v>2876.0369229148669</v>
      </c>
      <c r="H9" s="47">
        <v>2988.9741370879906</v>
      </c>
      <c r="I9" s="47">
        <v>3170.575323112058</v>
      </c>
      <c r="J9" s="47"/>
      <c r="K9" s="47"/>
      <c r="L9" s="47"/>
      <c r="M9" s="72" t="s">
        <v>143</v>
      </c>
      <c r="N9" s="72" t="s">
        <v>145</v>
      </c>
      <c r="P9" s="73">
        <f t="shared" ref="P9:R9" si="8">G9/80</f>
        <v>35.950461536435839</v>
      </c>
      <c r="Q9" s="73">
        <f t="shared" si="8"/>
        <v>37.362176713599879</v>
      </c>
      <c r="R9" s="73">
        <f t="shared" si="8"/>
        <v>39.632191538900727</v>
      </c>
      <c r="S9" s="73"/>
      <c r="T9" s="73"/>
      <c r="U9" s="73"/>
    </row>
    <row r="10" spans="1:21" ht="18.75" customHeight="1">
      <c r="A10" s="46" t="s">
        <v>27</v>
      </c>
      <c r="B10" s="46" t="s">
        <v>115</v>
      </c>
      <c r="C10" s="44" t="s">
        <v>150</v>
      </c>
      <c r="D10" s="42" t="s">
        <v>28</v>
      </c>
      <c r="F10" s="46" t="s">
        <v>17</v>
      </c>
      <c r="G10" s="47">
        <v>2876.0369229148669</v>
      </c>
      <c r="H10" s="47">
        <v>2988.9741370879906</v>
      </c>
      <c r="I10" s="47">
        <v>3170.575323112058</v>
      </c>
      <c r="J10" s="47"/>
      <c r="K10" s="47"/>
      <c r="L10" s="47"/>
      <c r="M10" s="79" t="s">
        <v>144</v>
      </c>
      <c r="N10" s="67" t="s">
        <v>146</v>
      </c>
      <c r="P10" s="73">
        <f t="shared" ref="P10:P11" si="9">G10/109.2</f>
        <v>26.337334458927351</v>
      </c>
      <c r="Q10" s="73">
        <f t="shared" ref="Q10:Q11" si="10">H10/109.2</f>
        <v>27.371558031941305</v>
      </c>
      <c r="R10" s="73">
        <f t="shared" ref="R10:R11" si="11">I10/109.2</f>
        <v>29.034572555971227</v>
      </c>
      <c r="S10" s="73"/>
      <c r="T10" s="73"/>
      <c r="U10" s="73"/>
    </row>
    <row r="11" spans="1:21" ht="18.75" customHeight="1">
      <c r="A11" s="46" t="s">
        <v>29</v>
      </c>
      <c r="B11" s="46" t="s">
        <v>115</v>
      </c>
      <c r="C11" s="44" t="s">
        <v>152</v>
      </c>
      <c r="D11" s="42" t="s">
        <v>30</v>
      </c>
      <c r="F11" s="46" t="s">
        <v>17</v>
      </c>
      <c r="G11" s="47">
        <v>3260.0234511034855</v>
      </c>
      <c r="H11" s="47">
        <v>3389.2738184349487</v>
      </c>
      <c r="I11" s="47">
        <v>3596.7212383109982</v>
      </c>
      <c r="J11" s="47"/>
      <c r="K11" s="47"/>
      <c r="L11" s="47"/>
      <c r="M11" s="79" t="s">
        <v>144</v>
      </c>
      <c r="N11" s="67" t="s">
        <v>146</v>
      </c>
      <c r="P11" s="73">
        <f t="shared" si="9"/>
        <v>29.853694607174774</v>
      </c>
      <c r="Q11" s="73">
        <f t="shared" si="10"/>
        <v>31.037306029624073</v>
      </c>
      <c r="R11" s="73">
        <f t="shared" si="11"/>
        <v>32.937007676840643</v>
      </c>
      <c r="S11" s="73"/>
      <c r="T11" s="73"/>
      <c r="U11" s="73"/>
    </row>
    <row r="12" spans="1:21" ht="18.75" customHeight="1">
      <c r="A12" s="46" t="s">
        <v>31</v>
      </c>
      <c r="B12" s="46" t="s">
        <v>115</v>
      </c>
      <c r="C12" s="44" t="s">
        <v>153</v>
      </c>
      <c r="D12" s="42" t="s">
        <v>32</v>
      </c>
      <c r="F12" s="46" t="s">
        <v>17</v>
      </c>
      <c r="G12" s="47">
        <v>3260.0234511034855</v>
      </c>
      <c r="H12" s="47">
        <v>3389.2738184349487</v>
      </c>
      <c r="I12" s="47">
        <v>3596.7212383109982</v>
      </c>
      <c r="J12" s="47"/>
      <c r="K12" s="47"/>
      <c r="L12" s="47"/>
      <c r="M12" s="72" t="s">
        <v>143</v>
      </c>
      <c r="N12" s="72" t="s">
        <v>145</v>
      </c>
      <c r="P12" s="73">
        <f t="shared" ref="P12:R12" si="12">G12/80</f>
        <v>40.750293138793566</v>
      </c>
      <c r="Q12" s="73">
        <f t="shared" si="12"/>
        <v>42.365922730436857</v>
      </c>
      <c r="R12" s="73">
        <f t="shared" si="12"/>
        <v>44.95901547888748</v>
      </c>
      <c r="S12" s="73"/>
      <c r="T12" s="73"/>
      <c r="U12" s="73"/>
    </row>
    <row r="13" spans="1:21" ht="18.75" customHeight="1">
      <c r="A13" s="46" t="s">
        <v>33</v>
      </c>
      <c r="B13" s="46" t="s">
        <v>115</v>
      </c>
      <c r="C13" s="44" t="s">
        <v>152</v>
      </c>
      <c r="D13" s="42" t="s">
        <v>34</v>
      </c>
      <c r="F13" s="46" t="s">
        <v>17</v>
      </c>
      <c r="G13" s="47">
        <v>3260.0234511034855</v>
      </c>
      <c r="H13" s="47">
        <v>3389.2738184349487</v>
      </c>
      <c r="I13" s="47">
        <v>3596.7212383109982</v>
      </c>
      <c r="J13" s="47"/>
      <c r="K13" s="47"/>
      <c r="L13" s="47"/>
      <c r="M13" s="79" t="s">
        <v>144</v>
      </c>
      <c r="N13" s="67" t="s">
        <v>146</v>
      </c>
      <c r="P13" s="73">
        <f t="shared" ref="P13:P14" si="13">G13/109.2</f>
        <v>29.853694607174774</v>
      </c>
      <c r="Q13" s="73">
        <f t="shared" ref="Q13:Q14" si="14">H13/109.2</f>
        <v>31.037306029624073</v>
      </c>
      <c r="R13" s="73">
        <f t="shared" ref="R13:R14" si="15">I13/109.2</f>
        <v>32.937007676840643</v>
      </c>
      <c r="S13" s="73"/>
      <c r="T13" s="73"/>
      <c r="U13" s="73"/>
    </row>
    <row r="14" spans="1:21" ht="18.75" customHeight="1">
      <c r="A14" s="46" t="s">
        <v>35</v>
      </c>
      <c r="B14" s="46" t="s">
        <v>115</v>
      </c>
      <c r="C14" s="44" t="s">
        <v>153</v>
      </c>
      <c r="D14" s="42" t="s">
        <v>36</v>
      </c>
      <c r="F14" s="46" t="s">
        <v>17</v>
      </c>
      <c r="G14" s="47">
        <v>3260.0234511034855</v>
      </c>
      <c r="H14" s="47">
        <v>3389.2738184349487</v>
      </c>
      <c r="I14" s="47">
        <v>3596.7212383109982</v>
      </c>
      <c r="J14" s="47"/>
      <c r="K14" s="47"/>
      <c r="L14" s="47"/>
      <c r="M14" s="72" t="s">
        <v>143</v>
      </c>
      <c r="N14" s="72" t="s">
        <v>145</v>
      </c>
      <c r="P14" s="73">
        <f t="shared" si="13"/>
        <v>29.853694607174774</v>
      </c>
      <c r="Q14" s="73">
        <f t="shared" si="14"/>
        <v>31.037306029624073</v>
      </c>
      <c r="R14" s="73">
        <f t="shared" si="15"/>
        <v>32.937007676840643</v>
      </c>
      <c r="S14" s="73"/>
      <c r="T14" s="73"/>
      <c r="U14" s="73"/>
    </row>
    <row r="15" spans="1:21" ht="18.75" customHeight="1">
      <c r="A15" s="46" t="s">
        <v>37</v>
      </c>
      <c r="B15" s="46" t="s">
        <v>115</v>
      </c>
      <c r="C15" s="44" t="s">
        <v>152</v>
      </c>
      <c r="D15" s="42" t="s">
        <v>38</v>
      </c>
      <c r="F15" s="46" t="s">
        <v>17</v>
      </c>
      <c r="G15" s="47">
        <v>3260.0234511034855</v>
      </c>
      <c r="H15" s="47">
        <v>3389.2738184349487</v>
      </c>
      <c r="I15" s="47">
        <v>3596.7212383109982</v>
      </c>
      <c r="J15" s="47"/>
      <c r="K15" s="47"/>
      <c r="L15" s="47"/>
      <c r="M15" s="79" t="s">
        <v>144</v>
      </c>
      <c r="N15" s="67" t="s">
        <v>146</v>
      </c>
      <c r="P15" s="73">
        <f t="shared" ref="P15" si="16">G15/80</f>
        <v>40.750293138793566</v>
      </c>
      <c r="Q15" s="73">
        <f t="shared" ref="Q15:Q17" si="17">H15/80</f>
        <v>42.365922730436857</v>
      </c>
      <c r="R15" s="73">
        <f t="shared" ref="R15:R17" si="18">I15/80</f>
        <v>44.95901547888748</v>
      </c>
      <c r="S15" s="73">
        <f t="shared" ref="S15" si="19">J15/80</f>
        <v>0</v>
      </c>
      <c r="T15" s="73">
        <f t="shared" ref="T15" si="20">K15/80</f>
        <v>0</v>
      </c>
      <c r="U15" s="73"/>
    </row>
    <row r="16" spans="1:21" ht="18.75" customHeight="1">
      <c r="A16" s="46" t="s">
        <v>41</v>
      </c>
      <c r="B16" s="46" t="s">
        <v>115</v>
      </c>
      <c r="C16" s="44" t="s">
        <v>154</v>
      </c>
      <c r="D16" s="48" t="s">
        <v>113</v>
      </c>
      <c r="F16" s="46" t="s">
        <v>17</v>
      </c>
      <c r="G16" s="47">
        <v>3336.5697851541572</v>
      </c>
      <c r="H16" s="47">
        <v>3393.0383922407195</v>
      </c>
      <c r="I16" s="47">
        <v>3450.7618572625379</v>
      </c>
      <c r="J16" s="47">
        <v>3508.4853222843567</v>
      </c>
      <c r="K16" s="47">
        <v>3722.5112976167097</v>
      </c>
      <c r="L16" s="47"/>
      <c r="M16" s="79" t="s">
        <v>144</v>
      </c>
      <c r="N16" s="67" t="s">
        <v>146</v>
      </c>
      <c r="P16" s="73">
        <f>G16/109.2</f>
        <v>30.554668362217555</v>
      </c>
      <c r="Q16" s="73">
        <f t="shared" ref="Q16:T16" si="21">H16/109.2</f>
        <v>31.071780148724535</v>
      </c>
      <c r="R16" s="73">
        <f t="shared" si="21"/>
        <v>31.600383308264998</v>
      </c>
      <c r="S16" s="73">
        <f t="shared" si="21"/>
        <v>32.128986467805461</v>
      </c>
      <c r="T16" s="73">
        <f t="shared" si="21"/>
        <v>34.088931296856316</v>
      </c>
      <c r="U16" s="73"/>
    </row>
    <row r="17" spans="1:21" ht="18.75" customHeight="1">
      <c r="A17" s="46" t="s">
        <v>39</v>
      </c>
      <c r="B17" s="46" t="s">
        <v>115</v>
      </c>
      <c r="C17" s="44" t="s">
        <v>155</v>
      </c>
      <c r="D17" s="42" t="s">
        <v>42</v>
      </c>
      <c r="E17" s="41"/>
      <c r="F17" s="46" t="s">
        <v>17</v>
      </c>
      <c r="G17" s="47">
        <v>3336.5697851541572</v>
      </c>
      <c r="H17" s="47">
        <v>3393.0383922407195</v>
      </c>
      <c r="I17" s="47">
        <v>3450.7618572625379</v>
      </c>
      <c r="J17" s="47">
        <v>3508.4853222843567</v>
      </c>
      <c r="K17" s="47">
        <v>3722.5112976167097</v>
      </c>
      <c r="L17" s="47"/>
      <c r="M17" s="72" t="s">
        <v>143</v>
      </c>
      <c r="N17" s="72" t="s">
        <v>145</v>
      </c>
      <c r="P17" s="73">
        <f>G17/80</f>
        <v>41.707122314426968</v>
      </c>
      <c r="Q17" s="73">
        <f t="shared" si="17"/>
        <v>42.412979903008996</v>
      </c>
      <c r="R17" s="73">
        <f t="shared" si="18"/>
        <v>43.134523215781726</v>
      </c>
      <c r="S17" s="73"/>
      <c r="T17" s="73"/>
      <c r="U17" s="73"/>
    </row>
    <row r="18" spans="1:21" ht="27.75" customHeight="1">
      <c r="A18" s="42" t="s">
        <v>141</v>
      </c>
      <c r="C18" s="46"/>
      <c r="G18" s="46"/>
      <c r="H18" s="46"/>
      <c r="I18" s="46"/>
      <c r="J18" s="46"/>
      <c r="K18" s="46"/>
      <c r="L18" s="46"/>
      <c r="M18" s="74"/>
    </row>
    <row r="19" spans="1:21">
      <c r="B19" s="49">
        <v>0.91133614394954188</v>
      </c>
      <c r="C19" s="50" t="s">
        <v>45</v>
      </c>
      <c r="G19" s="46"/>
      <c r="H19" s="46"/>
      <c r="I19" s="46"/>
      <c r="J19" s="46"/>
      <c r="K19" s="46"/>
      <c r="L19" s="46"/>
      <c r="M19" s="74"/>
      <c r="R19" s="74"/>
    </row>
    <row r="20" spans="1:21">
      <c r="B20" s="49">
        <v>0.39790733045684229</v>
      </c>
      <c r="C20" s="50" t="s">
        <v>46</v>
      </c>
      <c r="G20" s="46"/>
      <c r="H20" s="46"/>
      <c r="I20" s="46"/>
      <c r="J20" s="46"/>
      <c r="K20" s="46"/>
      <c r="L20" s="46"/>
      <c r="M20" s="74"/>
      <c r="R20" s="74"/>
    </row>
    <row r="21" spans="1:21" ht="17.25" customHeight="1">
      <c r="A21" s="42" t="s">
        <v>111</v>
      </c>
      <c r="C21" s="46"/>
      <c r="G21" s="46"/>
      <c r="H21" s="46"/>
      <c r="I21" s="46"/>
      <c r="J21" s="46"/>
      <c r="K21" s="46"/>
      <c r="L21" s="46"/>
      <c r="M21" s="74"/>
    </row>
    <row r="22" spans="1:21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  <c r="M22" s="74"/>
    </row>
    <row r="23" spans="1:21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74"/>
    </row>
    <row r="24" spans="1:21" ht="17.25" customHeight="1">
      <c r="A24" s="50" t="s">
        <v>50</v>
      </c>
      <c r="C24" s="46"/>
      <c r="G24" s="46"/>
      <c r="H24" s="46"/>
      <c r="I24" s="46"/>
      <c r="J24" s="46"/>
      <c r="K24" s="46"/>
      <c r="L24" s="46"/>
      <c r="M24" s="74"/>
    </row>
    <row r="25" spans="1:21" ht="17.25" customHeight="1">
      <c r="A25" s="42" t="s">
        <v>51</v>
      </c>
      <c r="C25" s="46"/>
      <c r="G25" s="46"/>
      <c r="H25" s="46"/>
      <c r="I25" s="46"/>
      <c r="J25" s="46"/>
      <c r="K25" s="46"/>
      <c r="L25" s="46"/>
      <c r="M25" s="74"/>
    </row>
    <row r="26" spans="1:21" ht="17.25" customHeight="1">
      <c r="A26" s="50" t="s">
        <v>52</v>
      </c>
      <c r="B26" s="46"/>
      <c r="C26" s="46"/>
    </row>
    <row r="27" spans="1:21">
      <c r="A27" s="50"/>
      <c r="B27" s="46"/>
      <c r="C27" s="46"/>
    </row>
    <row r="28" spans="1:21" ht="27.75" customHeight="1">
      <c r="A28" s="41" t="s">
        <v>136</v>
      </c>
      <c r="B28" s="42" t="s">
        <v>139</v>
      </c>
    </row>
    <row r="29" spans="1:21" ht="17.25" customHeight="1">
      <c r="A29" s="49">
        <v>15.71092169287661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75">
        <f>A29/109.2</f>
        <v>0.14387290927542684</v>
      </c>
      <c r="N29" s="76">
        <f>A29/80</f>
        <v>0.19638652116095762</v>
      </c>
    </row>
    <row r="30" spans="1:21" ht="17.25" customHeight="1">
      <c r="A30" s="49">
        <v>22.282810505583168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75">
        <f t="shared" ref="M30:M47" si="22">A30/109.2</f>
        <v>0.20405504125991911</v>
      </c>
      <c r="N30" s="76">
        <f t="shared" ref="N30:N47" si="23">A30/80</f>
        <v>0.27853513131978958</v>
      </c>
      <c r="R30" s="77"/>
    </row>
    <row r="31" spans="1:21" ht="17.25" customHeight="1">
      <c r="A31" s="49">
        <v>28.854699318289722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78">
        <f t="shared" si="22"/>
        <v>0.26423717324441137</v>
      </c>
      <c r="N31" s="76">
        <f t="shared" si="23"/>
        <v>0.36068374147862153</v>
      </c>
      <c r="R31" s="77"/>
    </row>
    <row r="32" spans="1:21" ht="17.25" customHeight="1">
      <c r="A32" s="49">
        <v>35.426588130996286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78">
        <f t="shared" si="22"/>
        <v>0.32441930522890372</v>
      </c>
      <c r="N32" s="76">
        <f t="shared" si="23"/>
        <v>0.4428323516374536</v>
      </c>
      <c r="R32" s="77"/>
    </row>
    <row r="33" spans="1:18" ht="17.25" customHeight="1">
      <c r="A33" s="49">
        <v>41.998476943702833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78">
        <f t="shared" si="22"/>
        <v>0.3846014372133959</v>
      </c>
      <c r="N33" s="76">
        <f t="shared" si="23"/>
        <v>0.52498096179628539</v>
      </c>
      <c r="R33" s="77"/>
    </row>
    <row r="34" spans="1:18" ht="17.25" customHeight="1">
      <c r="A34" s="49">
        <v>126.93243841573266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78">
        <f t="shared" si="22"/>
        <v>1.162384967177039</v>
      </c>
      <c r="N34" s="76">
        <f t="shared" si="23"/>
        <v>1.5866554801966584</v>
      </c>
      <c r="R34" s="77"/>
    </row>
    <row r="35" spans="1:18" ht="17.25" customHeight="1">
      <c r="A35" s="49">
        <v>134.06909892328122</v>
      </c>
      <c r="B35" s="52" t="s">
        <v>122</v>
      </c>
      <c r="M35" s="76">
        <f t="shared" si="22"/>
        <v>1.2277390011289488</v>
      </c>
      <c r="N35" s="76">
        <f t="shared" si="23"/>
        <v>1.6758637365410152</v>
      </c>
      <c r="R35" s="77"/>
    </row>
    <row r="36" spans="1:18" ht="17.25" customHeight="1">
      <c r="A36" s="49">
        <v>141.19292371049241</v>
      </c>
      <c r="B36" s="52" t="s">
        <v>123</v>
      </c>
      <c r="M36" s="76">
        <f t="shared" si="22"/>
        <v>1.2929754918543261</v>
      </c>
      <c r="N36" s="76">
        <f t="shared" si="23"/>
        <v>1.7649115463811551</v>
      </c>
      <c r="R36" s="77"/>
    </row>
    <row r="37" spans="1:18" ht="17.25" customHeight="1">
      <c r="A37" s="49">
        <v>184.68034421332408</v>
      </c>
      <c r="B37" s="52" t="s">
        <v>124</v>
      </c>
      <c r="M37" s="76">
        <f t="shared" si="22"/>
        <v>1.6912119433454584</v>
      </c>
      <c r="N37" s="76">
        <f t="shared" si="23"/>
        <v>2.308504302666551</v>
      </c>
      <c r="R37" s="77"/>
    </row>
    <row r="38" spans="1:18" ht="17.25" customHeight="1">
      <c r="A38" s="49">
        <v>191.80416900053532</v>
      </c>
      <c r="B38" s="52" t="s">
        <v>125</v>
      </c>
      <c r="M38" s="76">
        <f t="shared" si="22"/>
        <v>1.7564484340708362</v>
      </c>
      <c r="N38" s="76">
        <f t="shared" si="23"/>
        <v>2.3975521125066916</v>
      </c>
      <c r="R38" s="77"/>
    </row>
    <row r="39" spans="1:18" ht="17.25" customHeight="1">
      <c r="A39" s="49">
        <v>198.94082950808385</v>
      </c>
      <c r="B39" s="52" t="s">
        <v>126</v>
      </c>
      <c r="M39" s="76">
        <f t="shared" si="22"/>
        <v>1.8218024680227458</v>
      </c>
      <c r="N39" s="76">
        <f t="shared" si="23"/>
        <v>2.4867603688510482</v>
      </c>
      <c r="R39" s="77"/>
    </row>
    <row r="40" spans="1:18" ht="17.25" customHeight="1">
      <c r="A40" s="49">
        <v>206.07749001563238</v>
      </c>
      <c r="B40" s="52" t="s">
        <v>127</v>
      </c>
      <c r="M40" s="76">
        <f t="shared" si="22"/>
        <v>1.8871565019746555</v>
      </c>
      <c r="N40" s="76">
        <f t="shared" si="23"/>
        <v>2.5759686251954048</v>
      </c>
      <c r="R40" s="77"/>
    </row>
    <row r="41" spans="1:18" ht="17.25" customHeight="1">
      <c r="A41" s="49">
        <v>226.30658526724469</v>
      </c>
      <c r="B41" s="52" t="s">
        <v>128</v>
      </c>
      <c r="M41" s="76">
        <f t="shared" si="22"/>
        <v>2.0724046269894201</v>
      </c>
      <c r="N41" s="76">
        <f t="shared" si="23"/>
        <v>2.8288323158405584</v>
      </c>
      <c r="R41" s="77"/>
    </row>
    <row r="42" spans="1:18" ht="17.25" customHeight="1">
      <c r="A42" s="49">
        <v>284.32404119191972</v>
      </c>
      <c r="B42" s="52" t="s">
        <v>129</v>
      </c>
      <c r="M42" s="76">
        <f t="shared" si="22"/>
        <v>2.6037000109150155</v>
      </c>
      <c r="N42" s="76">
        <f t="shared" si="23"/>
        <v>3.5540505148989965</v>
      </c>
      <c r="R42" s="77"/>
    </row>
    <row r="43" spans="1:18" ht="17.25" customHeight="1">
      <c r="A43" s="49">
        <v>291.46070169946825</v>
      </c>
      <c r="B43" s="52" t="s">
        <v>130</v>
      </c>
      <c r="M43" s="76">
        <f t="shared" si="22"/>
        <v>2.6690540448669253</v>
      </c>
      <c r="N43" s="76">
        <f t="shared" si="23"/>
        <v>3.6432587712433531</v>
      </c>
      <c r="R43" s="77"/>
    </row>
    <row r="44" spans="1:18" ht="17.25" customHeight="1">
      <c r="A44" s="49">
        <v>298.59736220701677</v>
      </c>
      <c r="B44" s="52" t="s">
        <v>131</v>
      </c>
      <c r="M44" s="76">
        <f t="shared" si="22"/>
        <v>2.7344080788188347</v>
      </c>
      <c r="N44" s="76">
        <f t="shared" si="23"/>
        <v>3.7324670275877097</v>
      </c>
      <c r="R44" s="77"/>
    </row>
    <row r="45" spans="1:18" ht="17.25" customHeight="1">
      <c r="A45" s="49">
        <v>305.7340227145653</v>
      </c>
      <c r="B45" s="52" t="s">
        <v>132</v>
      </c>
      <c r="M45" s="76">
        <f t="shared" si="22"/>
        <v>2.7997621127707446</v>
      </c>
      <c r="N45" s="76">
        <f t="shared" si="23"/>
        <v>3.8216752839320662</v>
      </c>
      <c r="R45" s="77"/>
    </row>
    <row r="46" spans="1:18" ht="17.25" customHeight="1">
      <c r="A46" s="49">
        <v>312.87068322211394</v>
      </c>
      <c r="B46" s="52" t="s">
        <v>133</v>
      </c>
      <c r="M46" s="76">
        <f t="shared" si="22"/>
        <v>2.8651161467226549</v>
      </c>
      <c r="N46" s="76">
        <f t="shared" si="23"/>
        <v>3.9108835402764242</v>
      </c>
      <c r="R46" s="77"/>
    </row>
    <row r="47" spans="1:18" ht="17.25" customHeight="1">
      <c r="A47" s="49">
        <v>341.8023968624276</v>
      </c>
      <c r="B47" s="52" t="s">
        <v>134</v>
      </c>
      <c r="M47" s="76">
        <f t="shared" si="22"/>
        <v>3.1300585793262599</v>
      </c>
      <c r="N47" s="76">
        <f t="shared" si="23"/>
        <v>4.2725299607803446</v>
      </c>
      <c r="R47" s="77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71"/>
      <c r="N55" s="71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72"/>
      <c r="N57" s="72"/>
      <c r="O57" s="72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71"/>
      <c r="N70" s="71"/>
      <c r="O70" s="7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71"/>
      <c r="N71" s="71"/>
      <c r="O71" s="7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71"/>
      <c r="N72" s="71"/>
      <c r="O72" s="7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71"/>
      <c r="N73" s="71"/>
      <c r="O73" s="7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71"/>
      <c r="N74" s="71"/>
      <c r="O74" s="7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71"/>
      <c r="N75" s="71"/>
      <c r="O75" s="7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71"/>
      <c r="N76" s="71"/>
      <c r="O76" s="7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71"/>
      <c r="N77" s="71"/>
      <c r="O77" s="7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71"/>
      <c r="N78" s="71"/>
      <c r="O78" s="7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71"/>
      <c r="N79" s="71"/>
      <c r="O79" s="7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</row>
    <row r="84" spans="1:14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77"/>
    </row>
    <row r="85" spans="1:14">
      <c r="A85" s="51"/>
      <c r="B85" s="52"/>
      <c r="N85" s="77"/>
    </row>
    <row r="86" spans="1:14">
      <c r="A86" s="51"/>
      <c r="B86" s="52"/>
      <c r="N86" s="77"/>
    </row>
    <row r="87" spans="1:14">
      <c r="A87" s="51"/>
      <c r="B87" s="52"/>
      <c r="N87" s="77"/>
    </row>
    <row r="88" spans="1:14">
      <c r="A88" s="51"/>
      <c r="B88" s="52"/>
      <c r="N88" s="77"/>
    </row>
    <row r="89" spans="1:14">
      <c r="A89" s="51"/>
      <c r="B89" s="52"/>
      <c r="N89" s="77"/>
    </row>
    <row r="90" spans="1:14">
      <c r="A90" s="51"/>
      <c r="B90" s="52"/>
      <c r="N90" s="77"/>
    </row>
    <row r="91" spans="1:14">
      <c r="A91" s="51"/>
      <c r="B91" s="52"/>
      <c r="N91" s="77"/>
    </row>
    <row r="92" spans="1:14">
      <c r="A92" s="51"/>
      <c r="B92" s="52"/>
      <c r="N92" s="77"/>
    </row>
    <row r="93" spans="1:14">
      <c r="A93" s="51"/>
      <c r="B93" s="52"/>
      <c r="N93" s="77"/>
    </row>
    <row r="94" spans="1:14">
      <c r="A94" s="51"/>
      <c r="B94" s="52"/>
      <c r="N94" s="77"/>
    </row>
    <row r="95" spans="1:14">
      <c r="A95" s="51"/>
      <c r="B95" s="52"/>
      <c r="N95" s="77"/>
    </row>
    <row r="96" spans="1:14">
      <c r="A96" s="51"/>
      <c r="B96" s="52"/>
      <c r="N96" s="77"/>
    </row>
    <row r="97" spans="1:14">
      <c r="A97" s="51"/>
      <c r="B97" s="52"/>
      <c r="N97" s="77"/>
    </row>
    <row r="98" spans="1:14">
      <c r="B98" s="52"/>
      <c r="N98" s="77"/>
    </row>
    <row r="99" spans="1:14">
      <c r="B99" s="52"/>
      <c r="N99" s="77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2F71-A720-464D-9238-CEC154FF1A52}">
  <sheetPr codeName="Sheet14"/>
  <dimension ref="A2:V15"/>
  <sheetViews>
    <sheetView workbookViewId="0">
      <selection activeCell="D5" sqref="D5"/>
    </sheetView>
  </sheetViews>
  <sheetFormatPr defaultRowHeight="12.75"/>
  <cols>
    <col min="1" max="1" width="10.85546875" customWidth="1"/>
    <col min="2" max="2" width="3.85546875" customWidth="1"/>
    <col min="3" max="22" width="6" bestFit="1" customWidth="1"/>
    <col min="23" max="23" width="12" bestFit="1" customWidth="1"/>
  </cols>
  <sheetData>
    <row r="2" spans="1:22">
      <c r="A2" s="110" t="s">
        <v>190</v>
      </c>
      <c r="B2">
        <v>0</v>
      </c>
      <c r="C2">
        <v>7</v>
      </c>
      <c r="D2">
        <f>C2+1</f>
        <v>8</v>
      </c>
      <c r="E2">
        <f t="shared" ref="E2:V2" si="0">D2+1</f>
        <v>9</v>
      </c>
      <c r="F2">
        <f t="shared" si="0"/>
        <v>10</v>
      </c>
      <c r="G2">
        <f t="shared" si="0"/>
        <v>11</v>
      </c>
      <c r="H2">
        <f t="shared" si="0"/>
        <v>12</v>
      </c>
      <c r="I2">
        <f t="shared" si="0"/>
        <v>13</v>
      </c>
      <c r="J2">
        <f t="shared" si="0"/>
        <v>14</v>
      </c>
      <c r="K2">
        <f t="shared" si="0"/>
        <v>15</v>
      </c>
      <c r="L2">
        <f t="shared" si="0"/>
        <v>16</v>
      </c>
      <c r="M2">
        <f t="shared" si="0"/>
        <v>17</v>
      </c>
      <c r="N2">
        <f t="shared" si="0"/>
        <v>18</v>
      </c>
      <c r="O2">
        <f t="shared" si="0"/>
        <v>19</v>
      </c>
      <c r="P2">
        <f t="shared" si="0"/>
        <v>20</v>
      </c>
      <c r="Q2">
        <f t="shared" si="0"/>
        <v>21</v>
      </c>
      <c r="R2">
        <f t="shared" si="0"/>
        <v>22</v>
      </c>
      <c r="S2">
        <f t="shared" si="0"/>
        <v>23</v>
      </c>
      <c r="T2">
        <f t="shared" si="0"/>
        <v>24</v>
      </c>
      <c r="U2">
        <f t="shared" si="0"/>
        <v>25</v>
      </c>
      <c r="V2">
        <f t="shared" si="0"/>
        <v>26</v>
      </c>
    </row>
    <row r="3" spans="1:22">
      <c r="A3" s="144" t="s">
        <v>226</v>
      </c>
      <c r="B3" s="144" t="s">
        <v>224</v>
      </c>
    </row>
    <row r="4" spans="1:22">
      <c r="A4" s="144" t="s">
        <v>225</v>
      </c>
      <c r="B4" s="142">
        <v>1</v>
      </c>
      <c r="C4" s="142">
        <v>2</v>
      </c>
      <c r="D4" s="142">
        <v>3</v>
      </c>
      <c r="E4" s="142">
        <v>4</v>
      </c>
      <c r="F4" s="142">
        <v>5</v>
      </c>
      <c r="G4" s="142">
        <v>6</v>
      </c>
      <c r="H4" s="142">
        <v>7</v>
      </c>
      <c r="I4" s="142">
        <v>8</v>
      </c>
      <c r="J4" s="142">
        <v>9</v>
      </c>
      <c r="K4" s="142">
        <v>10</v>
      </c>
      <c r="L4" s="142">
        <v>11</v>
      </c>
      <c r="M4" s="142">
        <v>12</v>
      </c>
      <c r="N4" s="142">
        <v>13</v>
      </c>
      <c r="O4" s="142">
        <v>14</v>
      </c>
      <c r="P4" s="142">
        <v>15</v>
      </c>
      <c r="Q4" s="142">
        <v>16</v>
      </c>
      <c r="R4" s="142">
        <v>17</v>
      </c>
      <c r="S4" s="142">
        <v>18</v>
      </c>
      <c r="T4" s="142">
        <v>19</v>
      </c>
      <c r="U4" s="142">
        <v>20</v>
      </c>
      <c r="V4" s="142">
        <v>21</v>
      </c>
    </row>
    <row r="5" spans="1:22">
      <c r="A5" s="145" t="s">
        <v>211</v>
      </c>
      <c r="B5" s="146">
        <v>0</v>
      </c>
      <c r="C5" s="146">
        <v>0.14899999999999999</v>
      </c>
      <c r="D5" s="146">
        <v>0.21099999999999999</v>
      </c>
      <c r="E5" s="146">
        <v>0.27300000000000002</v>
      </c>
      <c r="F5" s="146">
        <v>0.33500000000000002</v>
      </c>
      <c r="G5" s="146">
        <v>0.39700000000000002</v>
      </c>
      <c r="H5" s="146">
        <v>1.2</v>
      </c>
      <c r="I5" s="146">
        <v>1.268</v>
      </c>
      <c r="J5" s="146">
        <v>1.335</v>
      </c>
      <c r="K5" s="146">
        <v>1.746</v>
      </c>
      <c r="L5" s="146">
        <v>1.8140000000000001</v>
      </c>
      <c r="M5" s="146">
        <v>1.881</v>
      </c>
      <c r="N5" s="146">
        <v>1.9490000000000001</v>
      </c>
      <c r="O5" s="146">
        <v>2.14</v>
      </c>
      <c r="P5" s="146">
        <v>2.6890000000000001</v>
      </c>
      <c r="Q5" s="147">
        <v>2.7559999999999998</v>
      </c>
      <c r="R5" s="147">
        <v>2.8239999999999998</v>
      </c>
      <c r="S5" s="147">
        <v>2.891</v>
      </c>
      <c r="T5" s="147">
        <v>2.9590000000000001</v>
      </c>
      <c r="U5" s="147">
        <v>3.2320000000000002</v>
      </c>
      <c r="V5" s="147"/>
    </row>
    <row r="6" spans="1:22">
      <c r="A6" s="145" t="s">
        <v>220</v>
      </c>
      <c r="B6" s="146">
        <v>0</v>
      </c>
      <c r="C6" s="146">
        <v>0.14899999999999999</v>
      </c>
      <c r="D6" s="146">
        <v>0.21099999999999999</v>
      </c>
      <c r="E6" s="146">
        <v>0.27300000000000002</v>
      </c>
      <c r="F6" s="146">
        <v>0.33500000000000002</v>
      </c>
      <c r="G6" s="146">
        <v>0.39700000000000002</v>
      </c>
      <c r="H6" s="146">
        <v>1.2</v>
      </c>
      <c r="I6" s="146">
        <v>1.268</v>
      </c>
      <c r="J6" s="146">
        <v>1.335</v>
      </c>
      <c r="K6" s="146">
        <v>1.746</v>
      </c>
      <c r="L6" s="146">
        <v>1.8140000000000001</v>
      </c>
      <c r="M6" s="146">
        <v>1.881</v>
      </c>
      <c r="N6" s="146">
        <v>1.9490000000000001</v>
      </c>
      <c r="O6" s="146">
        <v>2.14</v>
      </c>
      <c r="P6" s="146">
        <v>2.6890000000000001</v>
      </c>
      <c r="Q6" s="147">
        <v>3.1669999999999998</v>
      </c>
      <c r="R6" s="147">
        <v>3.2349999999999999</v>
      </c>
      <c r="S6" s="147">
        <v>3.302</v>
      </c>
      <c r="T6" s="147">
        <v>3.37</v>
      </c>
      <c r="U6" s="147">
        <v>3.6429999999999998</v>
      </c>
      <c r="V6" s="147">
        <v>4.173</v>
      </c>
    </row>
    <row r="7" spans="1:22">
      <c r="A7" s="145" t="s">
        <v>209</v>
      </c>
      <c r="B7" s="146">
        <v>0</v>
      </c>
      <c r="C7" s="146">
        <v>0.20300000000000001</v>
      </c>
      <c r="D7" s="146">
        <v>0.28799999999999998</v>
      </c>
      <c r="E7" s="146">
        <v>0.372</v>
      </c>
      <c r="F7" s="146">
        <v>0.45700000000000002</v>
      </c>
      <c r="G7" s="146">
        <v>0.54200000000000004</v>
      </c>
      <c r="H7" s="146">
        <v>1.639</v>
      </c>
      <c r="I7" s="146">
        <v>1.7310000000000001</v>
      </c>
      <c r="J7" s="146">
        <v>1.823</v>
      </c>
      <c r="K7" s="146">
        <v>2.3839999999999999</v>
      </c>
      <c r="L7" s="146">
        <v>2.476</v>
      </c>
      <c r="M7" s="146">
        <v>2.5680000000000001</v>
      </c>
      <c r="N7" s="146">
        <v>2.66</v>
      </c>
      <c r="O7" s="146">
        <v>2.9209999999999998</v>
      </c>
      <c r="P7" s="146">
        <v>3.67</v>
      </c>
      <c r="Q7" s="148">
        <v>3.762</v>
      </c>
      <c r="R7" s="148">
        <v>3.8540000000000001</v>
      </c>
      <c r="S7" s="148">
        <v>3.9470000000000001</v>
      </c>
      <c r="T7" s="148">
        <v>4.0389999999999997</v>
      </c>
      <c r="U7" s="148">
        <v>4.4119999999999999</v>
      </c>
      <c r="V7" s="148"/>
    </row>
    <row r="8" spans="1:22">
      <c r="A8" s="145" t="s">
        <v>222</v>
      </c>
      <c r="B8" s="146">
        <v>0</v>
      </c>
      <c r="C8" s="146">
        <v>0.20300000000000001</v>
      </c>
      <c r="D8" s="146">
        <v>0.28799999999999998</v>
      </c>
      <c r="E8" s="146">
        <v>0.372</v>
      </c>
      <c r="F8" s="146">
        <v>0.45700000000000002</v>
      </c>
      <c r="G8" s="146">
        <v>0.54200000000000004</v>
      </c>
      <c r="H8" s="146">
        <v>1.639</v>
      </c>
      <c r="I8" s="146">
        <v>1.7310000000000001</v>
      </c>
      <c r="J8" s="146">
        <v>1.823</v>
      </c>
      <c r="K8" s="146">
        <v>2.3839999999999999</v>
      </c>
      <c r="L8" s="146">
        <v>2.476</v>
      </c>
      <c r="M8" s="146">
        <v>2.5680000000000001</v>
      </c>
      <c r="N8" s="146">
        <v>2.66</v>
      </c>
      <c r="O8" s="146">
        <v>2.9209999999999998</v>
      </c>
      <c r="P8" s="146">
        <v>3.67</v>
      </c>
      <c r="Q8" s="148">
        <v>4.3230000000000004</v>
      </c>
      <c r="R8" s="148">
        <v>4.4160000000000004</v>
      </c>
      <c r="S8" s="148">
        <v>4.508</v>
      </c>
      <c r="T8" s="148">
        <v>4.5999999999999996</v>
      </c>
      <c r="U8" s="148">
        <v>4.9729999999999999</v>
      </c>
      <c r="V8" s="148">
        <v>5.6970000000000001</v>
      </c>
    </row>
    <row r="10" spans="1:22">
      <c r="P10" s="149" t="s">
        <v>227</v>
      </c>
      <c r="Q10">
        <f>GETPIVOTDATA("Comp Rate",$A$3,"Rate Code","LNGCFH","Level",16)-GETPIVOTDATA("Comp Rate",$A$3,"Rate Code","LNGCFF","Level",16)</f>
        <v>0.41100000000000003</v>
      </c>
      <c r="R10">
        <f t="shared" ref="R10:V10" si="1">GETPIVOTDATA("Comp Rate",$A$3,"Rate Code","LNGCFH","Level",16)-GETPIVOTDATA("Comp Rate",$A$3,"Rate Code","LNGCFF","Level",16)</f>
        <v>0.41100000000000003</v>
      </c>
      <c r="S10">
        <f t="shared" si="1"/>
        <v>0.41100000000000003</v>
      </c>
      <c r="T10">
        <f t="shared" si="1"/>
        <v>0.41100000000000003</v>
      </c>
      <c r="U10">
        <f t="shared" si="1"/>
        <v>0.41100000000000003</v>
      </c>
      <c r="V10">
        <f t="shared" si="1"/>
        <v>0.41100000000000003</v>
      </c>
    </row>
    <row r="11" spans="1:22">
      <c r="P11" s="149" t="s">
        <v>228</v>
      </c>
      <c r="Q11">
        <f>GETPIVOTDATA("Comp Rate",$A$3,"Rate Code","LNGCFI","Level",16)-GETPIVOTDATA("Comp Rate",$A$3,"Rate Code","LNGCFG","Level",16)</f>
        <v>0.56100000000000039</v>
      </c>
      <c r="R11">
        <f t="shared" ref="R11:V11" si="2">GETPIVOTDATA("Comp Rate",$A$3,"Rate Code","LNGCFI","Level",16)-GETPIVOTDATA("Comp Rate",$A$3,"Rate Code","LNGCFG","Level",16)</f>
        <v>0.56100000000000039</v>
      </c>
      <c r="S11">
        <f t="shared" si="2"/>
        <v>0.56100000000000039</v>
      </c>
      <c r="T11">
        <f t="shared" si="2"/>
        <v>0.56100000000000039</v>
      </c>
      <c r="U11">
        <f t="shared" si="2"/>
        <v>0.56100000000000039</v>
      </c>
      <c r="V11">
        <f t="shared" si="2"/>
        <v>0.56100000000000039</v>
      </c>
    </row>
    <row r="15" spans="1:22">
      <c r="Q15">
        <f>GETPIVOTDATA("Comp Rate",$A$3,"Rate Code","LNGCFH","Level",16)-GETPIVOTDATA("Comp Rate",$A$3,"Rate Code","LNGCFF","Level",16)</f>
        <v>0.41100000000000003</v>
      </c>
    </row>
  </sheetData>
  <pageMargins left="0.17" right="0.17" top="0.75" bottom="0.75" header="0.3" footer="0.3"/>
  <pageSetup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97A5-1DB6-486A-A651-074071B4B99C}">
  <sheetPr codeName="Sheet15"/>
  <dimension ref="A2:F23"/>
  <sheetViews>
    <sheetView workbookViewId="0">
      <selection activeCell="F18" sqref="F18"/>
    </sheetView>
  </sheetViews>
  <sheetFormatPr defaultRowHeight="12.75"/>
  <cols>
    <col min="1" max="5" width="9.140625" style="150"/>
  </cols>
  <sheetData>
    <row r="2" spans="1:5">
      <c r="A2" s="150" t="s">
        <v>190</v>
      </c>
      <c r="B2" s="150" t="s">
        <v>211</v>
      </c>
      <c r="C2" s="150" t="s">
        <v>220</v>
      </c>
      <c r="D2" s="150" t="s">
        <v>209</v>
      </c>
      <c r="E2" s="150" t="s">
        <v>222</v>
      </c>
    </row>
    <row r="3" spans="1:5">
      <c r="A3" s="150">
        <v>0</v>
      </c>
      <c r="B3" s="151">
        <v>0</v>
      </c>
      <c r="C3" s="151">
        <v>0</v>
      </c>
      <c r="D3" s="151">
        <v>0</v>
      </c>
      <c r="E3" s="151">
        <v>0</v>
      </c>
    </row>
    <row r="4" spans="1:5">
      <c r="A4" s="150">
        <v>7</v>
      </c>
      <c r="B4" s="151">
        <v>0.14899999999999999</v>
      </c>
      <c r="C4" s="151">
        <v>0.14899999999999999</v>
      </c>
      <c r="D4" s="151">
        <v>0.20300000000000001</v>
      </c>
      <c r="E4" s="151">
        <v>0.20300000000000001</v>
      </c>
    </row>
    <row r="5" spans="1:5">
      <c r="A5" s="150">
        <v>8</v>
      </c>
      <c r="B5" s="151">
        <v>0.21099999999999999</v>
      </c>
      <c r="C5" s="151">
        <v>0.21099999999999999</v>
      </c>
      <c r="D5" s="151">
        <v>0.28799999999999998</v>
      </c>
      <c r="E5" s="151">
        <v>0.28799999999999998</v>
      </c>
    </row>
    <row r="6" spans="1:5">
      <c r="A6" s="150">
        <v>9</v>
      </c>
      <c r="B6" s="151">
        <v>0.27300000000000002</v>
      </c>
      <c r="C6" s="151">
        <v>0.27300000000000002</v>
      </c>
      <c r="D6" s="151">
        <v>0.372</v>
      </c>
      <c r="E6" s="151">
        <v>0.372</v>
      </c>
    </row>
    <row r="7" spans="1:5">
      <c r="A7" s="150">
        <v>10</v>
      </c>
      <c r="B7" s="151">
        <v>0.33500000000000002</v>
      </c>
      <c r="C7" s="151">
        <v>0.33500000000000002</v>
      </c>
      <c r="D7" s="151">
        <v>0.45700000000000002</v>
      </c>
      <c r="E7" s="151">
        <v>0.45700000000000002</v>
      </c>
    </row>
    <row r="8" spans="1:5">
      <c r="A8" s="150">
        <v>11</v>
      </c>
      <c r="B8" s="151">
        <v>0.39700000000000002</v>
      </c>
      <c r="C8" s="151">
        <v>0.39700000000000002</v>
      </c>
      <c r="D8" s="151">
        <v>0.54200000000000004</v>
      </c>
      <c r="E8" s="151">
        <v>0.54200000000000004</v>
      </c>
    </row>
    <row r="9" spans="1:5">
      <c r="A9" s="150">
        <v>12</v>
      </c>
      <c r="B9" s="151">
        <v>1.2</v>
      </c>
      <c r="C9" s="151">
        <v>1.2</v>
      </c>
      <c r="D9" s="151">
        <v>1.639</v>
      </c>
      <c r="E9" s="151">
        <v>1.639</v>
      </c>
    </row>
    <row r="10" spans="1:5">
      <c r="A10" s="150">
        <v>13</v>
      </c>
      <c r="B10" s="151">
        <v>1.268</v>
      </c>
      <c r="C10" s="151">
        <v>1.268</v>
      </c>
      <c r="D10" s="151">
        <v>1.7310000000000001</v>
      </c>
      <c r="E10" s="151">
        <v>1.7310000000000001</v>
      </c>
    </row>
    <row r="11" spans="1:5">
      <c r="A11" s="150">
        <v>14</v>
      </c>
      <c r="B11" s="151">
        <v>1.335</v>
      </c>
      <c r="C11" s="151">
        <v>1.335</v>
      </c>
      <c r="D11" s="151">
        <v>1.823</v>
      </c>
      <c r="E11" s="151">
        <v>1.823</v>
      </c>
    </row>
    <row r="12" spans="1:5">
      <c r="A12" s="150">
        <v>15</v>
      </c>
      <c r="B12" s="151">
        <v>1.746</v>
      </c>
      <c r="C12" s="151">
        <v>1.746</v>
      </c>
      <c r="D12" s="151">
        <v>2.3839999999999999</v>
      </c>
      <c r="E12" s="151">
        <v>2.3839999999999999</v>
      </c>
    </row>
    <row r="13" spans="1:5">
      <c r="A13" s="150">
        <v>16</v>
      </c>
      <c r="B13" s="151">
        <v>1.8140000000000001</v>
      </c>
      <c r="C13" s="151">
        <v>1.8140000000000001</v>
      </c>
      <c r="D13" s="151">
        <v>2.476</v>
      </c>
      <c r="E13" s="151">
        <v>2.476</v>
      </c>
    </row>
    <row r="14" spans="1:5">
      <c r="A14" s="150">
        <v>17</v>
      </c>
      <c r="B14" s="151">
        <v>1.881</v>
      </c>
      <c r="C14" s="151">
        <v>1.881</v>
      </c>
      <c r="D14" s="151">
        <v>2.5680000000000001</v>
      </c>
      <c r="E14" s="151">
        <v>2.5680000000000001</v>
      </c>
    </row>
    <row r="15" spans="1:5">
      <c r="A15" s="150">
        <v>18</v>
      </c>
      <c r="B15" s="151">
        <v>1.9490000000000001</v>
      </c>
      <c r="C15" s="151">
        <v>1.9490000000000001</v>
      </c>
      <c r="D15" s="151">
        <v>2.66</v>
      </c>
      <c r="E15" s="151">
        <v>2.66</v>
      </c>
    </row>
    <row r="16" spans="1:5">
      <c r="A16" s="150">
        <v>19</v>
      </c>
      <c r="B16" s="151">
        <v>2.14</v>
      </c>
      <c r="C16" s="151">
        <v>2.14</v>
      </c>
      <c r="D16" s="151">
        <v>2.9209999999999998</v>
      </c>
      <c r="E16" s="151">
        <v>2.9209999999999998</v>
      </c>
    </row>
    <row r="17" spans="1:6">
      <c r="A17" s="150">
        <v>20</v>
      </c>
      <c r="B17" s="151">
        <v>2.6890000000000001</v>
      </c>
      <c r="C17" s="151">
        <v>2.6890000000000001</v>
      </c>
      <c r="D17" s="151">
        <v>3.67</v>
      </c>
      <c r="E17" s="151">
        <v>3.67</v>
      </c>
    </row>
    <row r="18" spans="1:6">
      <c r="A18" s="150">
        <v>21</v>
      </c>
      <c r="B18" s="151">
        <v>2.7559999999999998</v>
      </c>
      <c r="C18" s="151">
        <v>3.1669999999999998</v>
      </c>
      <c r="D18" s="151">
        <v>3.762</v>
      </c>
      <c r="E18" s="151">
        <v>4.3230000000000004</v>
      </c>
      <c r="F18" s="154">
        <f>E18-D18</f>
        <v>0.56100000000000039</v>
      </c>
    </row>
    <row r="19" spans="1:6">
      <c r="A19" s="150">
        <v>22</v>
      </c>
      <c r="B19" s="151">
        <v>2.8239999999999998</v>
      </c>
      <c r="C19" s="151">
        <v>3.2349999999999999</v>
      </c>
      <c r="D19" s="151">
        <v>3.8540000000000001</v>
      </c>
      <c r="E19" s="151">
        <v>4.4160000000000004</v>
      </c>
    </row>
    <row r="20" spans="1:6">
      <c r="A20" s="150">
        <v>23</v>
      </c>
      <c r="B20" s="151">
        <v>2.891</v>
      </c>
      <c r="C20" s="151">
        <v>3.302</v>
      </c>
      <c r="D20" s="151">
        <v>3.9470000000000001</v>
      </c>
      <c r="E20" s="151">
        <v>4.508</v>
      </c>
    </row>
    <row r="21" spans="1:6">
      <c r="A21" s="150">
        <v>24</v>
      </c>
      <c r="B21" s="151">
        <v>2.9590000000000001</v>
      </c>
      <c r="C21" s="151">
        <v>3.37</v>
      </c>
      <c r="D21" s="151">
        <v>4.0389999999999997</v>
      </c>
      <c r="E21" s="151">
        <v>4.5999999999999996</v>
      </c>
    </row>
    <row r="22" spans="1:6">
      <c r="A22" s="150">
        <v>25</v>
      </c>
      <c r="B22" s="151">
        <v>3.2320000000000002</v>
      </c>
      <c r="C22" s="151">
        <v>3.6429999999999998</v>
      </c>
      <c r="D22" s="151">
        <v>4.4119999999999999</v>
      </c>
      <c r="E22" s="151">
        <v>4.9729999999999999</v>
      </c>
    </row>
    <row r="23" spans="1:6">
      <c r="A23" s="150">
        <v>26</v>
      </c>
      <c r="B23" s="151"/>
      <c r="C23" s="151">
        <v>4.173</v>
      </c>
      <c r="D23" s="151"/>
      <c r="E23" s="151">
        <v>5.6970000000000001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DD8C-968B-4AC8-8C36-3F6AE31D9B58}">
  <sheetPr codeName="Sheet16"/>
  <dimension ref="A1:G84"/>
  <sheetViews>
    <sheetView topLeftCell="A31" workbookViewId="0">
      <selection activeCell="B55" sqref="B55"/>
    </sheetView>
  </sheetViews>
  <sheetFormatPr defaultColWidth="9.7109375" defaultRowHeight="15"/>
  <cols>
    <col min="1" max="1" width="28.7109375" style="131" customWidth="1"/>
    <col min="2" max="2" width="8.42578125" style="134" customWidth="1"/>
    <col min="3" max="3" width="6" style="133" customWidth="1"/>
    <col min="4" max="4" width="9.85546875" style="133" bestFit="1" customWidth="1"/>
    <col min="5" max="5" width="14.140625" style="131" bestFit="1" customWidth="1"/>
    <col min="6" max="6" width="11.42578125" style="132" customWidth="1"/>
    <col min="7" max="7" width="11.5703125" style="131" bestFit="1" customWidth="1"/>
    <col min="8" max="16384" width="9.7109375" style="131"/>
  </cols>
  <sheetData>
    <row r="1" spans="1:6" ht="16.5" thickTop="1" thickBot="1">
      <c r="A1" s="139" t="s">
        <v>219</v>
      </c>
      <c r="B1" s="131" t="s">
        <v>218</v>
      </c>
    </row>
    <row r="2" spans="1:6" ht="16.5" thickTop="1" thickBot="1">
      <c r="A2" s="139" t="s">
        <v>217</v>
      </c>
      <c r="B2" s="139" t="s">
        <v>216</v>
      </c>
      <c r="C2" s="139" t="s">
        <v>215</v>
      </c>
      <c r="D2" s="139" t="s">
        <v>214</v>
      </c>
      <c r="E2" s="139" t="s">
        <v>213</v>
      </c>
      <c r="F2" s="139" t="s">
        <v>212</v>
      </c>
    </row>
    <row r="3" spans="1:6" ht="15.75" thickTop="1">
      <c r="A3" s="136" t="s">
        <v>211</v>
      </c>
      <c r="B3" s="138">
        <v>43556</v>
      </c>
      <c r="C3" s="137">
        <v>1</v>
      </c>
      <c r="D3" s="137">
        <v>0</v>
      </c>
      <c r="E3" s="136" t="s">
        <v>210</v>
      </c>
      <c r="F3" s="135">
        <v>0</v>
      </c>
    </row>
    <row r="4" spans="1:6">
      <c r="A4" s="136" t="s">
        <v>211</v>
      </c>
      <c r="B4" s="138">
        <v>43556</v>
      </c>
      <c r="C4" s="137">
        <v>2</v>
      </c>
      <c r="D4" s="137">
        <v>6</v>
      </c>
      <c r="E4" s="136" t="s">
        <v>210</v>
      </c>
      <c r="F4" s="135">
        <v>0.14899999999999999</v>
      </c>
    </row>
    <row r="5" spans="1:6">
      <c r="A5" s="136" t="s">
        <v>211</v>
      </c>
      <c r="B5" s="138">
        <v>43556</v>
      </c>
      <c r="C5" s="137">
        <v>3</v>
      </c>
      <c r="D5" s="137">
        <v>7</v>
      </c>
      <c r="E5" s="136" t="s">
        <v>210</v>
      </c>
      <c r="F5" s="135">
        <v>0.21099999999999999</v>
      </c>
    </row>
    <row r="6" spans="1:6">
      <c r="A6" s="136" t="s">
        <v>211</v>
      </c>
      <c r="B6" s="138">
        <v>43556</v>
      </c>
      <c r="C6" s="137">
        <v>4</v>
      </c>
      <c r="D6" s="137">
        <v>8</v>
      </c>
      <c r="E6" s="136" t="s">
        <v>210</v>
      </c>
      <c r="F6" s="135">
        <v>0.27300000000000002</v>
      </c>
    </row>
    <row r="7" spans="1:6">
      <c r="A7" s="136" t="s">
        <v>211</v>
      </c>
      <c r="B7" s="138">
        <v>43556</v>
      </c>
      <c r="C7" s="137">
        <v>5</v>
      </c>
      <c r="D7" s="137">
        <v>9</v>
      </c>
      <c r="E7" s="136" t="s">
        <v>210</v>
      </c>
      <c r="F7" s="135">
        <v>0.33500000000000002</v>
      </c>
    </row>
    <row r="8" spans="1:6">
      <c r="A8" s="136" t="s">
        <v>211</v>
      </c>
      <c r="B8" s="138">
        <v>43556</v>
      </c>
      <c r="C8" s="137">
        <v>6</v>
      </c>
      <c r="D8" s="137">
        <v>10</v>
      </c>
      <c r="E8" s="136" t="s">
        <v>210</v>
      </c>
      <c r="F8" s="135">
        <v>0.39700000000000002</v>
      </c>
    </row>
    <row r="9" spans="1:6">
      <c r="A9" s="136" t="s">
        <v>211</v>
      </c>
      <c r="B9" s="138">
        <v>43556</v>
      </c>
      <c r="C9" s="137">
        <v>7</v>
      </c>
      <c r="D9" s="137">
        <v>11</v>
      </c>
      <c r="E9" s="136" t="s">
        <v>210</v>
      </c>
      <c r="F9" s="135">
        <v>1.2</v>
      </c>
    </row>
    <row r="10" spans="1:6">
      <c r="A10" s="136" t="s">
        <v>211</v>
      </c>
      <c r="B10" s="138">
        <v>43556</v>
      </c>
      <c r="C10" s="137">
        <v>8</v>
      </c>
      <c r="D10" s="137">
        <v>12</v>
      </c>
      <c r="E10" s="136" t="s">
        <v>210</v>
      </c>
      <c r="F10" s="135">
        <v>1.268</v>
      </c>
    </row>
    <row r="11" spans="1:6">
      <c r="A11" s="136" t="s">
        <v>211</v>
      </c>
      <c r="B11" s="138">
        <v>43556</v>
      </c>
      <c r="C11" s="137">
        <v>9</v>
      </c>
      <c r="D11" s="137">
        <v>13</v>
      </c>
      <c r="E11" s="136" t="s">
        <v>210</v>
      </c>
      <c r="F11" s="135">
        <v>1.335</v>
      </c>
    </row>
    <row r="12" spans="1:6">
      <c r="A12" s="136" t="s">
        <v>211</v>
      </c>
      <c r="B12" s="138">
        <v>43556</v>
      </c>
      <c r="C12" s="137">
        <v>10</v>
      </c>
      <c r="D12" s="137">
        <v>14</v>
      </c>
      <c r="E12" s="136" t="s">
        <v>210</v>
      </c>
      <c r="F12" s="135">
        <v>1.746</v>
      </c>
    </row>
    <row r="13" spans="1:6">
      <c r="A13" s="136" t="s">
        <v>211</v>
      </c>
      <c r="B13" s="138">
        <v>43556</v>
      </c>
      <c r="C13" s="137">
        <v>11</v>
      </c>
      <c r="D13" s="137">
        <v>15</v>
      </c>
      <c r="E13" s="136" t="s">
        <v>210</v>
      </c>
      <c r="F13" s="135">
        <v>1.8140000000000001</v>
      </c>
    </row>
    <row r="14" spans="1:6">
      <c r="A14" s="136" t="s">
        <v>211</v>
      </c>
      <c r="B14" s="138">
        <v>43556</v>
      </c>
      <c r="C14" s="137">
        <v>12</v>
      </c>
      <c r="D14" s="137">
        <v>16</v>
      </c>
      <c r="E14" s="136" t="s">
        <v>210</v>
      </c>
      <c r="F14" s="135">
        <v>1.881</v>
      </c>
    </row>
    <row r="15" spans="1:6">
      <c r="A15" s="136" t="s">
        <v>211</v>
      </c>
      <c r="B15" s="138">
        <v>43556</v>
      </c>
      <c r="C15" s="137">
        <v>13</v>
      </c>
      <c r="D15" s="137">
        <v>17</v>
      </c>
      <c r="E15" s="136" t="s">
        <v>210</v>
      </c>
      <c r="F15" s="135">
        <v>1.9490000000000001</v>
      </c>
    </row>
    <row r="16" spans="1:6">
      <c r="A16" s="136" t="s">
        <v>211</v>
      </c>
      <c r="B16" s="138">
        <v>43556</v>
      </c>
      <c r="C16" s="137">
        <v>14</v>
      </c>
      <c r="D16" s="137">
        <v>18</v>
      </c>
      <c r="E16" s="136" t="s">
        <v>210</v>
      </c>
      <c r="F16" s="135">
        <v>2.14</v>
      </c>
    </row>
    <row r="17" spans="1:7">
      <c r="A17" s="136" t="s">
        <v>211</v>
      </c>
      <c r="B17" s="138">
        <v>43556</v>
      </c>
      <c r="C17" s="137">
        <v>15</v>
      </c>
      <c r="D17" s="137">
        <v>19</v>
      </c>
      <c r="E17" s="136" t="s">
        <v>210</v>
      </c>
      <c r="F17" s="135">
        <v>2.6890000000000001</v>
      </c>
    </row>
    <row r="18" spans="1:7">
      <c r="A18" s="136" t="s">
        <v>211</v>
      </c>
      <c r="B18" s="138">
        <v>43556</v>
      </c>
      <c r="C18" s="137">
        <v>16</v>
      </c>
      <c r="D18" s="137">
        <v>20</v>
      </c>
      <c r="E18" s="136" t="s">
        <v>210</v>
      </c>
      <c r="F18" s="135">
        <v>2.7559999999999998</v>
      </c>
    </row>
    <row r="19" spans="1:7">
      <c r="A19" s="136" t="s">
        <v>211</v>
      </c>
      <c r="B19" s="138">
        <v>43556</v>
      </c>
      <c r="C19" s="137">
        <v>17</v>
      </c>
      <c r="D19" s="137">
        <v>21</v>
      </c>
      <c r="E19" s="136" t="s">
        <v>210</v>
      </c>
      <c r="F19" s="135">
        <v>2.8239999999999998</v>
      </c>
    </row>
    <row r="20" spans="1:7">
      <c r="A20" s="136" t="s">
        <v>211</v>
      </c>
      <c r="B20" s="138">
        <v>43556</v>
      </c>
      <c r="C20" s="137">
        <v>18</v>
      </c>
      <c r="D20" s="137">
        <v>22</v>
      </c>
      <c r="E20" s="136" t="s">
        <v>210</v>
      </c>
      <c r="F20" s="135">
        <v>2.891</v>
      </c>
    </row>
    <row r="21" spans="1:7">
      <c r="A21" s="136" t="s">
        <v>211</v>
      </c>
      <c r="B21" s="138">
        <v>43556</v>
      </c>
      <c r="C21" s="137">
        <v>19</v>
      </c>
      <c r="D21" s="137">
        <v>23</v>
      </c>
      <c r="E21" s="136" t="s">
        <v>210</v>
      </c>
      <c r="F21" s="135">
        <v>2.9590000000000001</v>
      </c>
    </row>
    <row r="22" spans="1:7">
      <c r="A22" s="136" t="s">
        <v>211</v>
      </c>
      <c r="B22" s="138">
        <v>43556</v>
      </c>
      <c r="C22" s="137">
        <v>20</v>
      </c>
      <c r="D22" s="137">
        <v>24</v>
      </c>
      <c r="E22" s="136" t="s">
        <v>210</v>
      </c>
      <c r="F22" s="135">
        <v>3.2320000000000002</v>
      </c>
    </row>
    <row r="23" spans="1:7">
      <c r="A23" s="131" t="s">
        <v>209</v>
      </c>
      <c r="B23" s="134">
        <v>43556</v>
      </c>
      <c r="C23" s="133">
        <v>1</v>
      </c>
      <c r="D23" s="133">
        <v>0</v>
      </c>
      <c r="E23" s="131" t="s">
        <v>208</v>
      </c>
      <c r="F23" s="132">
        <v>0</v>
      </c>
    </row>
    <row r="24" spans="1:7">
      <c r="A24" s="131" t="s">
        <v>209</v>
      </c>
      <c r="B24" s="134">
        <v>43556</v>
      </c>
      <c r="C24" s="133">
        <v>2</v>
      </c>
      <c r="D24" s="133">
        <v>6</v>
      </c>
      <c r="E24" s="131" t="s">
        <v>208</v>
      </c>
      <c r="F24" s="132">
        <v>0.20300000000000001</v>
      </c>
      <c r="G24" s="140">
        <f>F24*1.015</f>
        <v>0.20604500000000001</v>
      </c>
    </row>
    <row r="25" spans="1:7">
      <c r="A25" s="131" t="s">
        <v>209</v>
      </c>
      <c r="B25" s="134">
        <v>43556</v>
      </c>
      <c r="C25" s="133">
        <v>3</v>
      </c>
      <c r="D25" s="133">
        <v>7</v>
      </c>
      <c r="E25" s="131" t="s">
        <v>208</v>
      </c>
      <c r="F25" s="132">
        <v>0.28799999999999998</v>
      </c>
      <c r="G25" s="140"/>
    </row>
    <row r="26" spans="1:7">
      <c r="A26" s="131" t="s">
        <v>209</v>
      </c>
      <c r="B26" s="134">
        <v>43556</v>
      </c>
      <c r="C26" s="133">
        <v>4</v>
      </c>
      <c r="D26" s="133">
        <v>8</v>
      </c>
      <c r="E26" s="131" t="s">
        <v>208</v>
      </c>
      <c r="F26" s="132">
        <v>0.372</v>
      </c>
      <c r="G26" s="140"/>
    </row>
    <row r="27" spans="1:7">
      <c r="A27" s="131" t="s">
        <v>209</v>
      </c>
      <c r="B27" s="134">
        <v>43556</v>
      </c>
      <c r="C27" s="133">
        <v>5</v>
      </c>
      <c r="D27" s="133">
        <v>9</v>
      </c>
      <c r="E27" s="131" t="s">
        <v>208</v>
      </c>
      <c r="F27" s="132">
        <v>0.45700000000000002</v>
      </c>
      <c r="G27" s="140"/>
    </row>
    <row r="28" spans="1:7">
      <c r="A28" s="131" t="s">
        <v>209</v>
      </c>
      <c r="B28" s="134">
        <v>43556</v>
      </c>
      <c r="C28" s="133">
        <v>6</v>
      </c>
      <c r="D28" s="133">
        <v>10</v>
      </c>
      <c r="E28" s="131" t="s">
        <v>208</v>
      </c>
      <c r="F28" s="132">
        <v>0.54200000000000004</v>
      </c>
      <c r="G28" s="140"/>
    </row>
    <row r="29" spans="1:7">
      <c r="A29" s="131" t="s">
        <v>209</v>
      </c>
      <c r="B29" s="134">
        <v>43556</v>
      </c>
      <c r="C29" s="133">
        <v>7</v>
      </c>
      <c r="D29" s="133">
        <v>11</v>
      </c>
      <c r="E29" s="131" t="s">
        <v>208</v>
      </c>
      <c r="F29" s="132">
        <v>1.639</v>
      </c>
      <c r="G29" s="140"/>
    </row>
    <row r="30" spans="1:7">
      <c r="A30" s="131" t="s">
        <v>209</v>
      </c>
      <c r="B30" s="134">
        <v>43556</v>
      </c>
      <c r="C30" s="133">
        <v>8</v>
      </c>
      <c r="D30" s="133">
        <v>12</v>
      </c>
      <c r="E30" s="131" t="s">
        <v>208</v>
      </c>
      <c r="F30" s="132">
        <v>1.7310000000000001</v>
      </c>
      <c r="G30" s="140"/>
    </row>
    <row r="31" spans="1:7">
      <c r="A31" s="131" t="s">
        <v>209</v>
      </c>
      <c r="B31" s="134">
        <v>43556</v>
      </c>
      <c r="C31" s="133">
        <v>9</v>
      </c>
      <c r="D31" s="133">
        <v>13</v>
      </c>
      <c r="E31" s="131" t="s">
        <v>208</v>
      </c>
      <c r="F31" s="132">
        <v>1.823</v>
      </c>
      <c r="G31" s="140"/>
    </row>
    <row r="32" spans="1:7">
      <c r="A32" s="131" t="s">
        <v>209</v>
      </c>
      <c r="B32" s="134">
        <v>43556</v>
      </c>
      <c r="C32" s="133">
        <v>10</v>
      </c>
      <c r="D32" s="133">
        <v>14</v>
      </c>
      <c r="E32" s="131" t="s">
        <v>208</v>
      </c>
      <c r="F32" s="132">
        <v>2.3839999999999999</v>
      </c>
      <c r="G32" s="140"/>
    </row>
    <row r="33" spans="1:7">
      <c r="A33" s="131" t="s">
        <v>209</v>
      </c>
      <c r="B33" s="134">
        <v>43556</v>
      </c>
      <c r="C33" s="133">
        <v>11</v>
      </c>
      <c r="D33" s="133">
        <v>15</v>
      </c>
      <c r="E33" s="131" t="s">
        <v>208</v>
      </c>
      <c r="F33" s="132">
        <v>2.476</v>
      </c>
      <c r="G33" s="140"/>
    </row>
    <row r="34" spans="1:7">
      <c r="A34" s="131" t="s">
        <v>209</v>
      </c>
      <c r="B34" s="134">
        <v>43556</v>
      </c>
      <c r="C34" s="133">
        <v>12</v>
      </c>
      <c r="D34" s="133">
        <v>16</v>
      </c>
      <c r="E34" s="131" t="s">
        <v>208</v>
      </c>
      <c r="F34" s="132">
        <v>2.5680000000000001</v>
      </c>
      <c r="G34" s="140"/>
    </row>
    <row r="35" spans="1:7">
      <c r="A35" s="131" t="s">
        <v>209</v>
      </c>
      <c r="B35" s="134">
        <v>43556</v>
      </c>
      <c r="C35" s="133">
        <v>13</v>
      </c>
      <c r="D35" s="133">
        <v>17</v>
      </c>
      <c r="E35" s="131" t="s">
        <v>208</v>
      </c>
      <c r="F35" s="132">
        <v>2.66</v>
      </c>
      <c r="G35" s="140"/>
    </row>
    <row r="36" spans="1:7">
      <c r="A36" s="131" t="s">
        <v>209</v>
      </c>
      <c r="B36" s="134">
        <v>43556</v>
      </c>
      <c r="C36" s="133">
        <v>14</v>
      </c>
      <c r="D36" s="133">
        <v>18</v>
      </c>
      <c r="E36" s="131" t="s">
        <v>208</v>
      </c>
      <c r="F36" s="132">
        <v>2.9209999999999998</v>
      </c>
      <c r="G36" s="140"/>
    </row>
    <row r="37" spans="1:7">
      <c r="A37" s="131" t="s">
        <v>209</v>
      </c>
      <c r="B37" s="134">
        <v>43556</v>
      </c>
      <c r="C37" s="133">
        <v>15</v>
      </c>
      <c r="D37" s="133">
        <v>19</v>
      </c>
      <c r="E37" s="131" t="s">
        <v>208</v>
      </c>
      <c r="F37" s="132">
        <v>3.67</v>
      </c>
      <c r="G37" s="140"/>
    </row>
    <row r="38" spans="1:7">
      <c r="A38" s="131" t="s">
        <v>209</v>
      </c>
      <c r="B38" s="134">
        <v>43556</v>
      </c>
      <c r="C38" s="133">
        <v>16</v>
      </c>
      <c r="D38" s="133">
        <v>20</v>
      </c>
      <c r="E38" s="131" t="s">
        <v>208</v>
      </c>
      <c r="F38" s="132">
        <v>3.762</v>
      </c>
      <c r="G38" s="140"/>
    </row>
    <row r="39" spans="1:7">
      <c r="A39" s="131" t="s">
        <v>209</v>
      </c>
      <c r="B39" s="134">
        <v>43556</v>
      </c>
      <c r="C39" s="133">
        <v>17</v>
      </c>
      <c r="D39" s="133">
        <v>21</v>
      </c>
      <c r="E39" s="131" t="s">
        <v>208</v>
      </c>
      <c r="F39" s="132">
        <v>3.8540000000000001</v>
      </c>
      <c r="G39" s="140"/>
    </row>
    <row r="40" spans="1:7">
      <c r="A40" s="131" t="s">
        <v>209</v>
      </c>
      <c r="B40" s="134">
        <v>43556</v>
      </c>
      <c r="C40" s="133">
        <v>18</v>
      </c>
      <c r="D40" s="133">
        <v>22</v>
      </c>
      <c r="E40" s="131" t="s">
        <v>208</v>
      </c>
      <c r="F40" s="132">
        <v>3.9470000000000001</v>
      </c>
      <c r="G40" s="140"/>
    </row>
    <row r="41" spans="1:7">
      <c r="A41" s="131" t="s">
        <v>209</v>
      </c>
      <c r="B41" s="134">
        <v>43556</v>
      </c>
      <c r="C41" s="133">
        <v>19</v>
      </c>
      <c r="D41" s="133">
        <v>23</v>
      </c>
      <c r="E41" s="131" t="s">
        <v>208</v>
      </c>
      <c r="F41" s="132">
        <v>4.0389999999999997</v>
      </c>
      <c r="G41" s="140"/>
    </row>
    <row r="42" spans="1:7">
      <c r="A42" s="131" t="s">
        <v>209</v>
      </c>
      <c r="B42" s="134">
        <v>43556</v>
      </c>
      <c r="C42" s="133">
        <v>20</v>
      </c>
      <c r="D42" s="133">
        <v>24</v>
      </c>
      <c r="E42" s="131" t="s">
        <v>208</v>
      </c>
      <c r="F42" s="132">
        <v>4.4119999999999999</v>
      </c>
      <c r="G42" s="140"/>
    </row>
    <row r="43" spans="1:7">
      <c r="A43" t="s">
        <v>220</v>
      </c>
      <c r="B43" s="109">
        <v>43556</v>
      </c>
      <c r="C43" s="142">
        <v>1</v>
      </c>
      <c r="D43" s="142">
        <v>0</v>
      </c>
      <c r="E43" t="s">
        <v>221</v>
      </c>
      <c r="F43" s="143">
        <v>0</v>
      </c>
    </row>
    <row r="44" spans="1:7">
      <c r="A44" t="s">
        <v>220</v>
      </c>
      <c r="B44" s="109">
        <v>43556</v>
      </c>
      <c r="C44" s="142">
        <v>2</v>
      </c>
      <c r="D44" s="142">
        <v>6</v>
      </c>
      <c r="E44" t="s">
        <v>221</v>
      </c>
      <c r="F44" s="143">
        <v>0.14899999999999999</v>
      </c>
    </row>
    <row r="45" spans="1:7">
      <c r="A45" t="s">
        <v>220</v>
      </c>
      <c r="B45" s="109">
        <v>43556</v>
      </c>
      <c r="C45" s="142">
        <v>3</v>
      </c>
      <c r="D45" s="142">
        <v>7</v>
      </c>
      <c r="E45" t="s">
        <v>221</v>
      </c>
      <c r="F45" s="143">
        <v>0.21099999999999999</v>
      </c>
    </row>
    <row r="46" spans="1:7">
      <c r="A46" t="s">
        <v>220</v>
      </c>
      <c r="B46" s="109">
        <v>43556</v>
      </c>
      <c r="C46" s="142">
        <v>4</v>
      </c>
      <c r="D46" s="142">
        <v>8</v>
      </c>
      <c r="E46" t="s">
        <v>221</v>
      </c>
      <c r="F46" s="143">
        <v>0.27300000000000002</v>
      </c>
    </row>
    <row r="47" spans="1:7">
      <c r="A47" t="s">
        <v>220</v>
      </c>
      <c r="B47" s="109">
        <v>43556</v>
      </c>
      <c r="C47" s="142">
        <v>5</v>
      </c>
      <c r="D47" s="142">
        <v>9</v>
      </c>
      <c r="E47" t="s">
        <v>221</v>
      </c>
      <c r="F47" s="143">
        <v>0.33500000000000002</v>
      </c>
    </row>
    <row r="48" spans="1:7">
      <c r="A48" t="s">
        <v>220</v>
      </c>
      <c r="B48" s="109">
        <v>43556</v>
      </c>
      <c r="C48" s="142">
        <v>6</v>
      </c>
      <c r="D48" s="142">
        <v>10</v>
      </c>
      <c r="E48" t="s">
        <v>221</v>
      </c>
      <c r="F48" s="143">
        <v>0.39700000000000002</v>
      </c>
    </row>
    <row r="49" spans="1:6">
      <c r="A49" t="s">
        <v>220</v>
      </c>
      <c r="B49" s="109">
        <v>43556</v>
      </c>
      <c r="C49" s="142">
        <v>7</v>
      </c>
      <c r="D49" s="142">
        <v>11</v>
      </c>
      <c r="E49" t="s">
        <v>221</v>
      </c>
      <c r="F49" s="143">
        <v>1.2</v>
      </c>
    </row>
    <row r="50" spans="1:6">
      <c r="A50" t="s">
        <v>220</v>
      </c>
      <c r="B50" s="109">
        <v>43556</v>
      </c>
      <c r="C50" s="142">
        <v>8</v>
      </c>
      <c r="D50" s="142">
        <v>12</v>
      </c>
      <c r="E50" t="s">
        <v>221</v>
      </c>
      <c r="F50" s="143">
        <v>1.268</v>
      </c>
    </row>
    <row r="51" spans="1:6">
      <c r="A51" t="s">
        <v>220</v>
      </c>
      <c r="B51" s="109">
        <v>43556</v>
      </c>
      <c r="C51" s="142">
        <v>9</v>
      </c>
      <c r="D51" s="142">
        <v>13</v>
      </c>
      <c r="E51" t="s">
        <v>221</v>
      </c>
      <c r="F51" s="143">
        <v>1.335</v>
      </c>
    </row>
    <row r="52" spans="1:6">
      <c r="A52" t="s">
        <v>220</v>
      </c>
      <c r="B52" s="109">
        <v>43556</v>
      </c>
      <c r="C52" s="142">
        <v>10</v>
      </c>
      <c r="D52" s="142">
        <v>14</v>
      </c>
      <c r="E52" t="s">
        <v>221</v>
      </c>
      <c r="F52" s="143">
        <v>1.746</v>
      </c>
    </row>
    <row r="53" spans="1:6">
      <c r="A53" t="s">
        <v>220</v>
      </c>
      <c r="B53" s="109">
        <v>43556</v>
      </c>
      <c r="C53" s="142">
        <v>11</v>
      </c>
      <c r="D53" s="142">
        <v>15</v>
      </c>
      <c r="E53" t="s">
        <v>221</v>
      </c>
      <c r="F53" s="143">
        <v>1.8140000000000001</v>
      </c>
    </row>
    <row r="54" spans="1:6">
      <c r="A54" t="s">
        <v>220</v>
      </c>
      <c r="B54" s="109">
        <v>43556</v>
      </c>
      <c r="C54" s="142">
        <v>12</v>
      </c>
      <c r="D54" s="142">
        <v>16</v>
      </c>
      <c r="E54" t="s">
        <v>221</v>
      </c>
      <c r="F54" s="143">
        <v>1.881</v>
      </c>
    </row>
    <row r="55" spans="1:6">
      <c r="A55" t="s">
        <v>220</v>
      </c>
      <c r="B55" s="109">
        <v>43556</v>
      </c>
      <c r="C55" s="142">
        <v>13</v>
      </c>
      <c r="D55" s="142">
        <v>17</v>
      </c>
      <c r="E55" t="s">
        <v>221</v>
      </c>
      <c r="F55" s="143">
        <v>1.9490000000000001</v>
      </c>
    </row>
    <row r="56" spans="1:6">
      <c r="A56" t="s">
        <v>220</v>
      </c>
      <c r="B56" s="109">
        <v>43556</v>
      </c>
      <c r="C56" s="142">
        <v>14</v>
      </c>
      <c r="D56" s="142">
        <v>18</v>
      </c>
      <c r="E56" t="s">
        <v>221</v>
      </c>
      <c r="F56" s="143">
        <v>2.14</v>
      </c>
    </row>
    <row r="57" spans="1:6">
      <c r="A57" t="s">
        <v>220</v>
      </c>
      <c r="B57" s="109">
        <v>43556</v>
      </c>
      <c r="C57" s="142">
        <v>15</v>
      </c>
      <c r="D57" s="142">
        <v>19</v>
      </c>
      <c r="E57" t="s">
        <v>221</v>
      </c>
      <c r="F57" s="143">
        <v>2.6890000000000001</v>
      </c>
    </row>
    <row r="58" spans="1:6">
      <c r="A58" t="s">
        <v>220</v>
      </c>
      <c r="B58" s="109">
        <v>43556</v>
      </c>
      <c r="C58" s="142">
        <v>16</v>
      </c>
      <c r="D58" s="142">
        <v>20</v>
      </c>
      <c r="E58" t="s">
        <v>221</v>
      </c>
      <c r="F58" s="143">
        <v>3.1669999999999998</v>
      </c>
    </row>
    <row r="59" spans="1:6">
      <c r="A59" t="s">
        <v>220</v>
      </c>
      <c r="B59" s="109">
        <v>43556</v>
      </c>
      <c r="C59" s="142">
        <v>17</v>
      </c>
      <c r="D59" s="142">
        <v>21</v>
      </c>
      <c r="E59" t="s">
        <v>221</v>
      </c>
      <c r="F59" s="143">
        <v>3.2349999999999999</v>
      </c>
    </row>
    <row r="60" spans="1:6">
      <c r="A60" t="s">
        <v>220</v>
      </c>
      <c r="B60" s="109">
        <v>43556</v>
      </c>
      <c r="C60" s="142">
        <v>18</v>
      </c>
      <c r="D60" s="142">
        <v>22</v>
      </c>
      <c r="E60" t="s">
        <v>221</v>
      </c>
      <c r="F60" s="143">
        <v>3.302</v>
      </c>
    </row>
    <row r="61" spans="1:6">
      <c r="A61" t="s">
        <v>220</v>
      </c>
      <c r="B61" s="109">
        <v>43556</v>
      </c>
      <c r="C61" s="142">
        <v>19</v>
      </c>
      <c r="D61" s="142">
        <v>23</v>
      </c>
      <c r="E61" t="s">
        <v>221</v>
      </c>
      <c r="F61" s="143">
        <v>3.37</v>
      </c>
    </row>
    <row r="62" spans="1:6">
      <c r="A62" t="s">
        <v>220</v>
      </c>
      <c r="B62" s="109">
        <v>43556</v>
      </c>
      <c r="C62" s="142">
        <v>20</v>
      </c>
      <c r="D62" s="142">
        <v>24</v>
      </c>
      <c r="E62" t="s">
        <v>221</v>
      </c>
      <c r="F62" s="143">
        <v>3.6429999999999998</v>
      </c>
    </row>
    <row r="63" spans="1:6">
      <c r="A63" t="s">
        <v>220</v>
      </c>
      <c r="B63" s="109">
        <v>43556</v>
      </c>
      <c r="C63" s="142">
        <v>21</v>
      </c>
      <c r="D63" s="142">
        <v>25</v>
      </c>
      <c r="E63" t="s">
        <v>221</v>
      </c>
      <c r="F63" s="143">
        <v>4.173</v>
      </c>
    </row>
    <row r="64" spans="1:6">
      <c r="A64" t="s">
        <v>222</v>
      </c>
      <c r="B64" s="109">
        <v>43556</v>
      </c>
      <c r="C64" s="142">
        <v>1</v>
      </c>
      <c r="D64" s="142">
        <v>0</v>
      </c>
      <c r="E64" t="s">
        <v>223</v>
      </c>
      <c r="F64" s="143">
        <v>0</v>
      </c>
    </row>
    <row r="65" spans="1:6">
      <c r="A65" t="s">
        <v>222</v>
      </c>
      <c r="B65" s="109">
        <v>43556</v>
      </c>
      <c r="C65" s="142">
        <v>2</v>
      </c>
      <c r="D65" s="142">
        <v>6</v>
      </c>
      <c r="E65" t="s">
        <v>223</v>
      </c>
      <c r="F65" s="143">
        <v>0.20300000000000001</v>
      </c>
    </row>
    <row r="66" spans="1:6">
      <c r="A66" t="s">
        <v>222</v>
      </c>
      <c r="B66" s="109">
        <v>43556</v>
      </c>
      <c r="C66" s="142">
        <v>3</v>
      </c>
      <c r="D66" s="142">
        <v>7</v>
      </c>
      <c r="E66" t="s">
        <v>223</v>
      </c>
      <c r="F66" s="143">
        <v>0.28799999999999998</v>
      </c>
    </row>
    <row r="67" spans="1:6">
      <c r="A67" t="s">
        <v>222</v>
      </c>
      <c r="B67" s="109">
        <v>43556</v>
      </c>
      <c r="C67" s="142">
        <v>4</v>
      </c>
      <c r="D67" s="142">
        <v>8</v>
      </c>
      <c r="E67" t="s">
        <v>223</v>
      </c>
      <c r="F67" s="143">
        <v>0.372</v>
      </c>
    </row>
    <row r="68" spans="1:6">
      <c r="A68" t="s">
        <v>222</v>
      </c>
      <c r="B68" s="109">
        <v>43556</v>
      </c>
      <c r="C68" s="142">
        <v>5</v>
      </c>
      <c r="D68" s="142">
        <v>9</v>
      </c>
      <c r="E68" t="s">
        <v>223</v>
      </c>
      <c r="F68" s="143">
        <v>0.45700000000000002</v>
      </c>
    </row>
    <row r="69" spans="1:6">
      <c r="A69" t="s">
        <v>222</v>
      </c>
      <c r="B69" s="109">
        <v>43556</v>
      </c>
      <c r="C69" s="142">
        <v>6</v>
      </c>
      <c r="D69" s="142">
        <v>10</v>
      </c>
      <c r="E69" t="s">
        <v>223</v>
      </c>
      <c r="F69" s="143">
        <v>0.54200000000000004</v>
      </c>
    </row>
    <row r="70" spans="1:6">
      <c r="A70" t="s">
        <v>222</v>
      </c>
      <c r="B70" s="109">
        <v>43556</v>
      </c>
      <c r="C70" s="142">
        <v>7</v>
      </c>
      <c r="D70" s="142">
        <v>11</v>
      </c>
      <c r="E70" t="s">
        <v>223</v>
      </c>
      <c r="F70" s="143">
        <v>1.639</v>
      </c>
    </row>
    <row r="71" spans="1:6">
      <c r="A71" t="s">
        <v>222</v>
      </c>
      <c r="B71" s="109">
        <v>43556</v>
      </c>
      <c r="C71" s="142">
        <v>8</v>
      </c>
      <c r="D71" s="142">
        <v>12</v>
      </c>
      <c r="E71" t="s">
        <v>223</v>
      </c>
      <c r="F71" s="143">
        <v>1.7310000000000001</v>
      </c>
    </row>
    <row r="72" spans="1:6">
      <c r="A72" t="s">
        <v>222</v>
      </c>
      <c r="B72" s="109">
        <v>43556</v>
      </c>
      <c r="C72" s="142">
        <v>9</v>
      </c>
      <c r="D72" s="142">
        <v>13</v>
      </c>
      <c r="E72" t="s">
        <v>223</v>
      </c>
      <c r="F72" s="143">
        <v>1.823</v>
      </c>
    </row>
    <row r="73" spans="1:6">
      <c r="A73" t="s">
        <v>222</v>
      </c>
      <c r="B73" s="109">
        <v>43556</v>
      </c>
      <c r="C73" s="142">
        <v>10</v>
      </c>
      <c r="D73" s="142">
        <v>14</v>
      </c>
      <c r="E73" t="s">
        <v>223</v>
      </c>
      <c r="F73" s="143">
        <v>2.3839999999999999</v>
      </c>
    </row>
    <row r="74" spans="1:6">
      <c r="A74" t="s">
        <v>222</v>
      </c>
      <c r="B74" s="109">
        <v>43556</v>
      </c>
      <c r="C74" s="142">
        <v>11</v>
      </c>
      <c r="D74" s="142">
        <v>15</v>
      </c>
      <c r="E74" t="s">
        <v>223</v>
      </c>
      <c r="F74" s="143">
        <v>2.476</v>
      </c>
    </row>
    <row r="75" spans="1:6">
      <c r="A75" t="s">
        <v>222</v>
      </c>
      <c r="B75" s="109">
        <v>43556</v>
      </c>
      <c r="C75" s="142">
        <v>12</v>
      </c>
      <c r="D75" s="142">
        <v>16</v>
      </c>
      <c r="E75" t="s">
        <v>223</v>
      </c>
      <c r="F75" s="143">
        <v>2.5680000000000001</v>
      </c>
    </row>
    <row r="76" spans="1:6">
      <c r="A76" t="s">
        <v>222</v>
      </c>
      <c r="B76" s="109">
        <v>43556</v>
      </c>
      <c r="C76" s="142">
        <v>13</v>
      </c>
      <c r="D76" s="142">
        <v>17</v>
      </c>
      <c r="E76" t="s">
        <v>223</v>
      </c>
      <c r="F76" s="143">
        <v>2.66</v>
      </c>
    </row>
    <row r="77" spans="1:6">
      <c r="A77" t="s">
        <v>222</v>
      </c>
      <c r="B77" s="109">
        <v>43556</v>
      </c>
      <c r="C77" s="142">
        <v>14</v>
      </c>
      <c r="D77" s="142">
        <v>18</v>
      </c>
      <c r="E77" t="s">
        <v>223</v>
      </c>
      <c r="F77" s="143">
        <v>2.9209999999999998</v>
      </c>
    </row>
    <row r="78" spans="1:6">
      <c r="A78" t="s">
        <v>222</v>
      </c>
      <c r="B78" s="109">
        <v>43556</v>
      </c>
      <c r="C78" s="142">
        <v>15</v>
      </c>
      <c r="D78" s="142">
        <v>19</v>
      </c>
      <c r="E78" t="s">
        <v>223</v>
      </c>
      <c r="F78" s="143">
        <v>3.67</v>
      </c>
    </row>
    <row r="79" spans="1:6">
      <c r="A79" t="s">
        <v>222</v>
      </c>
      <c r="B79" s="109">
        <v>43556</v>
      </c>
      <c r="C79" s="142">
        <v>16</v>
      </c>
      <c r="D79" s="142">
        <v>20</v>
      </c>
      <c r="E79" t="s">
        <v>223</v>
      </c>
      <c r="F79" s="143">
        <v>4.3230000000000004</v>
      </c>
    </row>
    <row r="80" spans="1:6">
      <c r="A80" t="s">
        <v>222</v>
      </c>
      <c r="B80" s="109">
        <v>43556</v>
      </c>
      <c r="C80" s="142">
        <v>17</v>
      </c>
      <c r="D80" s="142">
        <v>21</v>
      </c>
      <c r="E80" t="s">
        <v>223</v>
      </c>
      <c r="F80" s="143">
        <v>4.4160000000000004</v>
      </c>
    </row>
    <row r="81" spans="1:6">
      <c r="A81" t="s">
        <v>222</v>
      </c>
      <c r="B81" s="109">
        <v>43556</v>
      </c>
      <c r="C81" s="142">
        <v>18</v>
      </c>
      <c r="D81" s="142">
        <v>22</v>
      </c>
      <c r="E81" t="s">
        <v>223</v>
      </c>
      <c r="F81" s="143">
        <v>4.508</v>
      </c>
    </row>
    <row r="82" spans="1:6">
      <c r="A82" t="s">
        <v>222</v>
      </c>
      <c r="B82" s="109">
        <v>43556</v>
      </c>
      <c r="C82" s="142">
        <v>19</v>
      </c>
      <c r="D82" s="142">
        <v>23</v>
      </c>
      <c r="E82" t="s">
        <v>223</v>
      </c>
      <c r="F82" s="143">
        <v>4.5999999999999996</v>
      </c>
    </row>
    <row r="83" spans="1:6">
      <c r="A83" t="s">
        <v>222</v>
      </c>
      <c r="B83" s="109">
        <v>43556</v>
      </c>
      <c r="C83" s="142">
        <v>20</v>
      </c>
      <c r="D83" s="142">
        <v>24</v>
      </c>
      <c r="E83" t="s">
        <v>223</v>
      </c>
      <c r="F83" s="143">
        <v>4.9729999999999999</v>
      </c>
    </row>
    <row r="84" spans="1:6">
      <c r="A84" t="s">
        <v>222</v>
      </c>
      <c r="B84" s="109">
        <v>43556</v>
      </c>
      <c r="C84" s="142">
        <v>21</v>
      </c>
      <c r="D84" s="142">
        <v>25</v>
      </c>
      <c r="E84" t="s">
        <v>223</v>
      </c>
      <c r="F84" s="143">
        <v>5.6970000000000001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/>
  <dimension ref="A1:W101"/>
  <sheetViews>
    <sheetView topLeftCell="A22" workbookViewId="0">
      <selection activeCell="I43" sqref="I43:L43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4.140625" style="42" customWidth="1"/>
    <col min="7" max="10" width="6.5703125" style="42" customWidth="1"/>
    <col min="11" max="11" width="8.5703125" style="42" bestFit="1" customWidth="1"/>
    <col min="12" max="12" width="6.5703125" style="42" customWidth="1"/>
    <col min="13" max="13" width="29.5703125" style="84" hidden="1" customWidth="1"/>
    <col min="14" max="14" width="6.5703125" style="85" hidden="1" customWidth="1"/>
    <col min="15" max="15" width="36.140625" style="68" hidden="1" customWidth="1"/>
    <col min="16" max="21" width="0" style="68" hidden="1" customWidth="1"/>
    <col min="22" max="22" width="9.140625" style="68" hidden="1" customWidth="1"/>
    <col min="23" max="23" width="9.140625" style="67" hidden="1" customWidth="1"/>
    <col min="24" max="16384" width="9.140625" style="42"/>
  </cols>
  <sheetData>
    <row r="1" spans="1:21" ht="18.75">
      <c r="A1" s="58" t="s">
        <v>140</v>
      </c>
      <c r="B1" s="59"/>
      <c r="C1" s="59"/>
      <c r="D1" s="59"/>
      <c r="E1" s="59"/>
      <c r="F1" s="59"/>
      <c r="G1" s="59"/>
      <c r="H1" s="59"/>
      <c r="I1" s="60"/>
      <c r="J1" s="60"/>
      <c r="K1" s="60"/>
      <c r="L1" s="80"/>
    </row>
    <row r="2" spans="1:21">
      <c r="A2" s="62" t="s">
        <v>110</v>
      </c>
      <c r="B2" s="61"/>
      <c r="C2" s="61"/>
      <c r="D2" s="59"/>
      <c r="E2" s="59"/>
      <c r="F2" s="59" t="s">
        <v>80</v>
      </c>
      <c r="G2" s="59"/>
      <c r="H2" s="59"/>
      <c r="I2" s="59"/>
      <c r="J2" s="59"/>
      <c r="K2" s="59"/>
      <c r="L2" s="81"/>
      <c r="M2" s="85"/>
    </row>
    <row r="3" spans="1:21" ht="30" customHeight="1">
      <c r="A3" s="61" t="s">
        <v>137</v>
      </c>
      <c r="B3" s="63" t="s">
        <v>114</v>
      </c>
      <c r="C3" s="63" t="s">
        <v>138</v>
      </c>
      <c r="D3" s="61" t="s">
        <v>4</v>
      </c>
      <c r="E3" s="61" t="s">
        <v>5</v>
      </c>
      <c r="F3" s="61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63" t="s">
        <v>11</v>
      </c>
      <c r="L3" s="82" t="s">
        <v>12</v>
      </c>
      <c r="M3" s="86"/>
      <c r="N3" s="86" t="s">
        <v>138</v>
      </c>
      <c r="O3" s="85" t="s">
        <v>4</v>
      </c>
    </row>
    <row r="4" spans="1:21" ht="18.75" customHeight="1">
      <c r="A4" s="64" t="s">
        <v>157</v>
      </c>
      <c r="B4" s="64" t="s">
        <v>115</v>
      </c>
      <c r="C4" s="61" t="s">
        <v>156</v>
      </c>
      <c r="D4" s="60" t="s">
        <v>84</v>
      </c>
      <c r="E4" s="61"/>
      <c r="F4" s="61" t="s">
        <v>17</v>
      </c>
      <c r="G4" s="65">
        <v>1636.233658579134</v>
      </c>
      <c r="H4" s="63"/>
      <c r="I4" s="63"/>
      <c r="J4" s="63"/>
      <c r="K4" s="63"/>
      <c r="L4" s="82"/>
      <c r="M4" s="86" t="s">
        <v>143</v>
      </c>
      <c r="N4" s="85" t="s">
        <v>156</v>
      </c>
      <c r="O4" s="68" t="s">
        <v>84</v>
      </c>
      <c r="P4" s="87">
        <f>G4/80</f>
        <v>20.452920732239175</v>
      </c>
      <c r="Q4" s="87"/>
      <c r="R4" s="87"/>
      <c r="S4" s="87"/>
      <c r="T4" s="87"/>
      <c r="U4" s="87"/>
    </row>
    <row r="5" spans="1:21" ht="18.75" customHeight="1">
      <c r="A5" s="64" t="s">
        <v>15</v>
      </c>
      <c r="B5" s="64" t="s">
        <v>115</v>
      </c>
      <c r="C5" s="64" t="s">
        <v>148</v>
      </c>
      <c r="D5" s="60" t="s">
        <v>16</v>
      </c>
      <c r="E5" s="60">
        <v>353</v>
      </c>
      <c r="F5" s="64" t="s">
        <v>17</v>
      </c>
      <c r="G5" s="65">
        <v>2337.4766551130488</v>
      </c>
      <c r="H5" s="65">
        <v>2430.9757213175703</v>
      </c>
      <c r="I5" s="65">
        <v>2528.2147501702734</v>
      </c>
      <c r="J5" s="65">
        <v>2629.3433401770844</v>
      </c>
      <c r="K5" s="65">
        <v>2734.5170737841681</v>
      </c>
      <c r="L5" s="83">
        <v>2843.897756735535</v>
      </c>
      <c r="M5" s="84" t="s">
        <v>144</v>
      </c>
      <c r="N5" s="84" t="s">
        <v>148</v>
      </c>
      <c r="O5" s="68" t="s">
        <v>16</v>
      </c>
      <c r="P5" s="87">
        <f>G5/109.2</f>
        <v>21.405463874661617</v>
      </c>
      <c r="Q5" s="87">
        <f t="shared" ref="Q5:U5" si="0">H5/109.2</f>
        <v>22.261682429648079</v>
      </c>
      <c r="R5" s="87">
        <f t="shared" si="0"/>
        <v>23.152149726834004</v>
      </c>
      <c r="S5" s="87">
        <f t="shared" si="0"/>
        <v>24.078235715907365</v>
      </c>
      <c r="T5" s="87">
        <f t="shared" si="0"/>
        <v>25.041365144543665</v>
      </c>
      <c r="U5" s="87">
        <f t="shared" si="0"/>
        <v>26.043019750325413</v>
      </c>
    </row>
    <row r="6" spans="1:21" ht="18.75" customHeight="1">
      <c r="A6" s="64" t="s">
        <v>19</v>
      </c>
      <c r="B6" s="64" t="s">
        <v>115</v>
      </c>
      <c r="C6" s="64" t="s">
        <v>149</v>
      </c>
      <c r="D6" s="60" t="s">
        <v>20</v>
      </c>
      <c r="E6" s="60">
        <v>353</v>
      </c>
      <c r="F6" s="64" t="s">
        <v>17</v>
      </c>
      <c r="G6" s="65">
        <v>2337.4766551130488</v>
      </c>
      <c r="H6" s="65">
        <v>2430.9757213175703</v>
      </c>
      <c r="I6" s="65">
        <v>2528.2147501702734</v>
      </c>
      <c r="J6" s="65">
        <v>2629.3433401770844</v>
      </c>
      <c r="K6" s="65">
        <v>2734.5170737841681</v>
      </c>
      <c r="L6" s="83">
        <v>2843.897756735535</v>
      </c>
      <c r="M6" s="84" t="s">
        <v>143</v>
      </c>
      <c r="N6" s="84" t="s">
        <v>149</v>
      </c>
      <c r="O6" s="68" t="s">
        <v>20</v>
      </c>
      <c r="P6" s="87">
        <f t="shared" ref="P6:U6" si="1">G6/80</f>
        <v>29.218458188913111</v>
      </c>
      <c r="Q6" s="87">
        <f t="shared" si="1"/>
        <v>30.387196516469629</v>
      </c>
      <c r="R6" s="87">
        <f t="shared" si="1"/>
        <v>31.602684377128419</v>
      </c>
      <c r="S6" s="87">
        <f t="shared" si="1"/>
        <v>32.866791752213558</v>
      </c>
      <c r="T6" s="87">
        <f t="shared" si="1"/>
        <v>34.181463422302102</v>
      </c>
      <c r="U6" s="87">
        <f t="shared" si="1"/>
        <v>35.548721959194189</v>
      </c>
    </row>
    <row r="7" spans="1:21" ht="18.75" customHeight="1">
      <c r="A7" s="64" t="s">
        <v>21</v>
      </c>
      <c r="B7" s="64" t="s">
        <v>115</v>
      </c>
      <c r="C7" s="64" t="s">
        <v>148</v>
      </c>
      <c r="D7" s="60" t="s">
        <v>22</v>
      </c>
      <c r="E7" s="60"/>
      <c r="F7" s="64" t="s">
        <v>17</v>
      </c>
      <c r="G7" s="65">
        <v>2337.4766551130488</v>
      </c>
      <c r="H7" s="65">
        <v>2430.9757213175703</v>
      </c>
      <c r="I7" s="65">
        <v>2528.2147501702734</v>
      </c>
      <c r="J7" s="65">
        <v>2629.3433401770844</v>
      </c>
      <c r="K7" s="65">
        <v>2734.5170737841681</v>
      </c>
      <c r="L7" s="83">
        <v>2843.897756735535</v>
      </c>
      <c r="M7" s="84" t="s">
        <v>144</v>
      </c>
      <c r="N7" s="84" t="s">
        <v>148</v>
      </c>
      <c r="O7" s="68" t="s">
        <v>22</v>
      </c>
      <c r="P7" s="87">
        <f t="shared" ref="P7:U8" si="2">G7/109.2</f>
        <v>21.405463874661617</v>
      </c>
      <c r="Q7" s="87">
        <f t="shared" si="2"/>
        <v>22.261682429648079</v>
      </c>
      <c r="R7" s="87">
        <f t="shared" si="2"/>
        <v>23.152149726834004</v>
      </c>
      <c r="S7" s="87">
        <f t="shared" si="2"/>
        <v>24.078235715907365</v>
      </c>
      <c r="T7" s="87">
        <f t="shared" si="2"/>
        <v>25.041365144543665</v>
      </c>
      <c r="U7" s="87">
        <f t="shared" si="2"/>
        <v>26.043019750325413</v>
      </c>
    </row>
    <row r="8" spans="1:21" ht="18.75" customHeight="1">
      <c r="A8" s="64" t="s">
        <v>23</v>
      </c>
      <c r="B8" s="64" t="s">
        <v>115</v>
      </c>
      <c r="C8" s="64" t="s">
        <v>150</v>
      </c>
      <c r="D8" s="60" t="s">
        <v>24</v>
      </c>
      <c r="E8" s="60"/>
      <c r="F8" s="64" t="s">
        <v>17</v>
      </c>
      <c r="G8" s="65">
        <v>2897.6071998367283</v>
      </c>
      <c r="H8" s="65">
        <v>3011.3914431161506</v>
      </c>
      <c r="I8" s="65">
        <v>3194.3546380353987</v>
      </c>
      <c r="J8" s="65"/>
      <c r="K8" s="65"/>
      <c r="L8" s="83"/>
      <c r="M8" s="84" t="s">
        <v>144</v>
      </c>
      <c r="N8" s="84" t="s">
        <v>150</v>
      </c>
      <c r="O8" s="68" t="s">
        <v>24</v>
      </c>
      <c r="P8" s="87">
        <f t="shared" si="2"/>
        <v>26.534864467369307</v>
      </c>
      <c r="Q8" s="87">
        <f t="shared" si="2"/>
        <v>27.576844717180865</v>
      </c>
      <c r="R8" s="87">
        <f t="shared" si="2"/>
        <v>29.252331850141012</v>
      </c>
      <c r="S8" s="87">
        <f t="shared" si="2"/>
        <v>0</v>
      </c>
      <c r="T8" s="87">
        <f t="shared" si="2"/>
        <v>0</v>
      </c>
      <c r="U8" s="87"/>
    </row>
    <row r="9" spans="1:21" ht="18.75" customHeight="1">
      <c r="A9" s="64" t="s">
        <v>77</v>
      </c>
      <c r="B9" s="64" t="s">
        <v>115</v>
      </c>
      <c r="C9" s="64" t="s">
        <v>151</v>
      </c>
      <c r="D9" s="60" t="s">
        <v>26</v>
      </c>
      <c r="E9" s="60"/>
      <c r="F9" s="64" t="s">
        <v>17</v>
      </c>
      <c r="G9" s="65">
        <v>2897.6071998367283</v>
      </c>
      <c r="H9" s="65">
        <v>3011.3914431161506</v>
      </c>
      <c r="I9" s="65">
        <v>3194.3546380353987</v>
      </c>
      <c r="J9" s="65"/>
      <c r="K9" s="65"/>
      <c r="L9" s="83"/>
      <c r="M9" s="84" t="s">
        <v>143</v>
      </c>
      <c r="N9" s="84" t="s">
        <v>151</v>
      </c>
      <c r="O9" s="68" t="s">
        <v>26</v>
      </c>
      <c r="P9" s="87">
        <f t="shared" ref="P9:R9" si="3">G9/80</f>
        <v>36.220089997959107</v>
      </c>
      <c r="Q9" s="87">
        <f t="shared" si="3"/>
        <v>37.64239303895188</v>
      </c>
      <c r="R9" s="87">
        <f t="shared" si="3"/>
        <v>39.929432975442481</v>
      </c>
      <c r="S9" s="87"/>
      <c r="T9" s="87"/>
      <c r="U9" s="87"/>
    </row>
    <row r="10" spans="1:21" ht="18.75" customHeight="1">
      <c r="A10" s="64" t="s">
        <v>27</v>
      </c>
      <c r="B10" s="64" t="s">
        <v>115</v>
      </c>
      <c r="C10" s="64" t="s">
        <v>150</v>
      </c>
      <c r="D10" s="60" t="s">
        <v>28</v>
      </c>
      <c r="E10" s="60"/>
      <c r="F10" s="64" t="s">
        <v>17</v>
      </c>
      <c r="G10" s="65">
        <v>2897.6071998367283</v>
      </c>
      <c r="H10" s="65">
        <v>3011.3914431161506</v>
      </c>
      <c r="I10" s="65">
        <v>3194.3546380353987</v>
      </c>
      <c r="J10" s="65"/>
      <c r="K10" s="65"/>
      <c r="L10" s="83"/>
      <c r="M10" s="84" t="s">
        <v>144</v>
      </c>
      <c r="N10" s="84" t="s">
        <v>150</v>
      </c>
      <c r="O10" s="68" t="s">
        <v>28</v>
      </c>
      <c r="P10" s="87">
        <f t="shared" ref="P10:R11" si="4">G10/109.2</f>
        <v>26.534864467369307</v>
      </c>
      <c r="Q10" s="87">
        <f t="shared" si="4"/>
        <v>27.576844717180865</v>
      </c>
      <c r="R10" s="87">
        <f t="shared" si="4"/>
        <v>29.252331850141012</v>
      </c>
      <c r="S10" s="87"/>
      <c r="T10" s="87"/>
      <c r="U10" s="87"/>
    </row>
    <row r="11" spans="1:21" ht="18.75" customHeight="1">
      <c r="A11" s="64" t="s">
        <v>29</v>
      </c>
      <c r="B11" s="64" t="s">
        <v>115</v>
      </c>
      <c r="C11" s="64" t="s">
        <v>152</v>
      </c>
      <c r="D11" s="60" t="s">
        <v>30</v>
      </c>
      <c r="E11" s="60"/>
      <c r="F11" s="64" t="s">
        <v>17</v>
      </c>
      <c r="G11" s="65">
        <v>3284.4736269867617</v>
      </c>
      <c r="H11" s="65">
        <v>3414.6933720732109</v>
      </c>
      <c r="I11" s="65">
        <v>3623.6966475983309</v>
      </c>
      <c r="J11" s="65"/>
      <c r="K11" s="65"/>
      <c r="L11" s="83"/>
      <c r="M11" s="84" t="s">
        <v>144</v>
      </c>
      <c r="N11" s="84" t="s">
        <v>152</v>
      </c>
      <c r="O11" s="68" t="s">
        <v>30</v>
      </c>
      <c r="P11" s="87">
        <f t="shared" si="4"/>
        <v>30.077597316728585</v>
      </c>
      <c r="Q11" s="87">
        <f t="shared" si="4"/>
        <v>31.270085824846252</v>
      </c>
      <c r="R11" s="87">
        <f t="shared" si="4"/>
        <v>33.184035234416946</v>
      </c>
      <c r="S11" s="87"/>
      <c r="T11" s="87"/>
      <c r="U11" s="87"/>
    </row>
    <row r="12" spans="1:21" ht="18.75" customHeight="1">
      <c r="A12" s="64" t="s">
        <v>31</v>
      </c>
      <c r="B12" s="64" t="s">
        <v>115</v>
      </c>
      <c r="C12" s="64" t="s">
        <v>153</v>
      </c>
      <c r="D12" s="60" t="s">
        <v>32</v>
      </c>
      <c r="E12" s="60"/>
      <c r="F12" s="64" t="s">
        <v>17</v>
      </c>
      <c r="G12" s="65">
        <v>3284.4736269867617</v>
      </c>
      <c r="H12" s="65">
        <v>3414.6933720732109</v>
      </c>
      <c r="I12" s="65">
        <v>3623.6966475983309</v>
      </c>
      <c r="J12" s="65"/>
      <c r="K12" s="65"/>
      <c r="L12" s="83"/>
      <c r="M12" s="84" t="s">
        <v>143</v>
      </c>
      <c r="N12" s="84" t="s">
        <v>153</v>
      </c>
      <c r="O12" s="68" t="s">
        <v>32</v>
      </c>
      <c r="P12" s="87">
        <f t="shared" ref="P12:R12" si="5">G12/80</f>
        <v>41.05592033733452</v>
      </c>
      <c r="Q12" s="87">
        <f t="shared" si="5"/>
        <v>42.683667150915134</v>
      </c>
      <c r="R12" s="87">
        <f t="shared" si="5"/>
        <v>45.296208094979136</v>
      </c>
      <c r="S12" s="87"/>
      <c r="T12" s="87"/>
      <c r="U12" s="87"/>
    </row>
    <row r="13" spans="1:21" ht="18.75" customHeight="1">
      <c r="A13" s="64" t="s">
        <v>33</v>
      </c>
      <c r="B13" s="64" t="s">
        <v>115</v>
      </c>
      <c r="C13" s="64" t="s">
        <v>152</v>
      </c>
      <c r="D13" s="60" t="s">
        <v>34</v>
      </c>
      <c r="E13" s="60"/>
      <c r="F13" s="64" t="s">
        <v>17</v>
      </c>
      <c r="G13" s="65">
        <v>3284.4736269867617</v>
      </c>
      <c r="H13" s="65">
        <v>3414.6933720732109</v>
      </c>
      <c r="I13" s="65">
        <v>3623.6966475983309</v>
      </c>
      <c r="J13" s="65"/>
      <c r="K13" s="65"/>
      <c r="L13" s="83"/>
      <c r="M13" s="84" t="s">
        <v>144</v>
      </c>
      <c r="N13" s="84" t="s">
        <v>152</v>
      </c>
      <c r="O13" s="68" t="s">
        <v>34</v>
      </c>
      <c r="P13" s="87">
        <f t="shared" ref="P13:R13" si="6">G13/109.2</f>
        <v>30.077597316728585</v>
      </c>
      <c r="Q13" s="87">
        <f t="shared" si="6"/>
        <v>31.270085824846252</v>
      </c>
      <c r="R13" s="87">
        <f t="shared" si="6"/>
        <v>33.184035234416946</v>
      </c>
      <c r="S13" s="87"/>
      <c r="T13" s="87"/>
      <c r="U13" s="87"/>
    </row>
    <row r="14" spans="1:21" ht="18.75" customHeight="1">
      <c r="A14" s="64" t="s">
        <v>35</v>
      </c>
      <c r="B14" s="64" t="s">
        <v>115</v>
      </c>
      <c r="C14" s="64" t="s">
        <v>153</v>
      </c>
      <c r="D14" s="60" t="s">
        <v>36</v>
      </c>
      <c r="E14" s="60"/>
      <c r="F14" s="64" t="s">
        <v>17</v>
      </c>
      <c r="G14" s="65">
        <v>3284.4736269867617</v>
      </c>
      <c r="H14" s="65">
        <v>3414.6933720732109</v>
      </c>
      <c r="I14" s="65">
        <v>3623.6966475983309</v>
      </c>
      <c r="J14" s="65"/>
      <c r="K14" s="65"/>
      <c r="L14" s="83"/>
      <c r="M14" s="84" t="s">
        <v>143</v>
      </c>
      <c r="N14" s="84" t="s">
        <v>153</v>
      </c>
      <c r="O14" s="68" t="s">
        <v>36</v>
      </c>
      <c r="P14" s="87">
        <f>G14/80</f>
        <v>41.05592033733452</v>
      </c>
      <c r="Q14" s="87">
        <f t="shared" ref="Q14:R14" si="7">H14/80</f>
        <v>42.683667150915134</v>
      </c>
      <c r="R14" s="87">
        <f t="shared" si="7"/>
        <v>45.296208094979136</v>
      </c>
      <c r="S14" s="87"/>
      <c r="T14" s="87"/>
      <c r="U14" s="87"/>
    </row>
    <row r="15" spans="1:21" ht="18.75" customHeight="1">
      <c r="A15" s="64" t="s">
        <v>37</v>
      </c>
      <c r="B15" s="64" t="s">
        <v>115</v>
      </c>
      <c r="C15" s="64" t="s">
        <v>152</v>
      </c>
      <c r="D15" s="60" t="s">
        <v>38</v>
      </c>
      <c r="E15" s="60"/>
      <c r="F15" s="64" t="s">
        <v>17</v>
      </c>
      <c r="G15" s="65">
        <v>3284.4736269867617</v>
      </c>
      <c r="H15" s="65">
        <v>3414.6933720732109</v>
      </c>
      <c r="I15" s="65">
        <v>3623.6966475983309</v>
      </c>
      <c r="J15" s="65"/>
      <c r="K15" s="65"/>
      <c r="L15" s="83"/>
      <c r="M15" s="84" t="s">
        <v>144</v>
      </c>
      <c r="N15" s="84" t="s">
        <v>152</v>
      </c>
      <c r="O15" s="68" t="s">
        <v>38</v>
      </c>
      <c r="P15" s="87">
        <f t="shared" ref="P15:T17" si="8">G15/80</f>
        <v>41.05592033733452</v>
      </c>
      <c r="Q15" s="87">
        <f t="shared" si="8"/>
        <v>42.683667150915134</v>
      </c>
      <c r="R15" s="87">
        <f t="shared" si="8"/>
        <v>45.296208094979136</v>
      </c>
      <c r="S15" s="87"/>
      <c r="T15" s="87"/>
      <c r="U15" s="87"/>
    </row>
    <row r="16" spans="1:21" ht="18.75" customHeight="1">
      <c r="A16" s="64" t="s">
        <v>41</v>
      </c>
      <c r="B16" s="64" t="s">
        <v>115</v>
      </c>
      <c r="C16" s="64" t="s">
        <v>154</v>
      </c>
      <c r="D16" s="66" t="s">
        <v>113</v>
      </c>
      <c r="E16" s="60"/>
      <c r="F16" s="64" t="s">
        <v>17</v>
      </c>
      <c r="G16" s="65">
        <v>3361.5940585428134</v>
      </c>
      <c r="H16" s="65">
        <v>3418.486180182525</v>
      </c>
      <c r="I16" s="65">
        <v>3476.6425711920069</v>
      </c>
      <c r="J16" s="65">
        <v>3534.7989622014898</v>
      </c>
      <c r="K16" s="65">
        <v>3750.4301323488353</v>
      </c>
      <c r="L16" s="83"/>
      <c r="M16" s="84" t="s">
        <v>144</v>
      </c>
      <c r="N16" s="84" t="s">
        <v>154</v>
      </c>
      <c r="O16" s="88" t="s">
        <v>113</v>
      </c>
      <c r="P16" s="87">
        <f>G16/109.2</f>
        <v>30.783828374934188</v>
      </c>
      <c r="Q16" s="87">
        <f t="shared" ref="Q16:T16" si="9">H16/109.2</f>
        <v>31.304818499839971</v>
      </c>
      <c r="R16" s="87">
        <f t="shared" si="9"/>
        <v>31.837386183076987</v>
      </c>
      <c r="S16" s="87">
        <f t="shared" si="9"/>
        <v>32.369953866314006</v>
      </c>
      <c r="T16" s="87">
        <f t="shared" si="9"/>
        <v>34.344598281582741</v>
      </c>
      <c r="U16" s="87"/>
    </row>
    <row r="17" spans="1:21" ht="18.75" customHeight="1">
      <c r="A17" s="64" t="s">
        <v>39</v>
      </c>
      <c r="B17" s="64" t="s">
        <v>115</v>
      </c>
      <c r="C17" s="64" t="s">
        <v>155</v>
      </c>
      <c r="D17" s="60" t="s">
        <v>42</v>
      </c>
      <c r="E17" s="59"/>
      <c r="F17" s="64" t="s">
        <v>17</v>
      </c>
      <c r="G17" s="65">
        <v>3361.5940585428134</v>
      </c>
      <c r="H17" s="65">
        <v>3418.486180182525</v>
      </c>
      <c r="I17" s="65">
        <v>3476.6425711920069</v>
      </c>
      <c r="J17" s="65">
        <v>3534.7989622014898</v>
      </c>
      <c r="K17" s="65">
        <v>3750.4301323488353</v>
      </c>
      <c r="L17" s="83"/>
      <c r="M17" s="84" t="s">
        <v>143</v>
      </c>
      <c r="N17" s="84" t="s">
        <v>155</v>
      </c>
      <c r="O17" s="68" t="s">
        <v>42</v>
      </c>
      <c r="P17" s="87">
        <f>G17/80</f>
        <v>42.019925731785165</v>
      </c>
      <c r="Q17" s="87">
        <f t="shared" si="8"/>
        <v>42.731077252281565</v>
      </c>
      <c r="R17" s="87">
        <f t="shared" si="8"/>
        <v>43.458032139900084</v>
      </c>
      <c r="S17" s="87">
        <f t="shared" si="8"/>
        <v>44.184987027518623</v>
      </c>
      <c r="T17" s="87">
        <f t="shared" si="8"/>
        <v>46.88037665436044</v>
      </c>
      <c r="U17" s="87"/>
    </row>
    <row r="18" spans="1:21" ht="27.75" customHeight="1">
      <c r="A18" s="42" t="s">
        <v>141</v>
      </c>
      <c r="C18" s="46"/>
      <c r="G18" s="46"/>
      <c r="H18" s="46"/>
      <c r="I18" s="46"/>
      <c r="J18" s="46"/>
      <c r="K18" s="46"/>
      <c r="L18" s="46"/>
    </row>
    <row r="19" spans="1:21">
      <c r="B19" s="49">
        <v>0.91817116502916352</v>
      </c>
      <c r="C19" s="50" t="s">
        <v>45</v>
      </c>
      <c r="G19" s="46"/>
      <c r="H19" s="46"/>
      <c r="I19" s="46"/>
      <c r="J19" s="46"/>
      <c r="K19" s="46"/>
      <c r="L19" s="46"/>
      <c r="R19" s="84"/>
    </row>
    <row r="20" spans="1:21">
      <c r="B20" s="49">
        <v>0.40089163543526862</v>
      </c>
      <c r="C20" s="50" t="s">
        <v>46</v>
      </c>
      <c r="G20" s="46"/>
      <c r="H20" s="46"/>
      <c r="I20" s="46"/>
      <c r="J20" s="46"/>
      <c r="K20" s="46"/>
      <c r="L20" s="46"/>
      <c r="R20" s="84"/>
    </row>
    <row r="21" spans="1:21" ht="17.25" customHeight="1">
      <c r="A21" s="42" t="s">
        <v>111</v>
      </c>
      <c r="C21" s="46"/>
      <c r="G21" s="46"/>
      <c r="H21" s="46"/>
      <c r="I21" s="46"/>
      <c r="J21" s="46"/>
      <c r="K21" s="46"/>
      <c r="L21" s="46"/>
    </row>
    <row r="22" spans="1:21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</row>
    <row r="23" spans="1:21" ht="27.75" customHeight="1">
      <c r="A23" s="41" t="s">
        <v>107</v>
      </c>
      <c r="C23" s="46"/>
      <c r="G23" s="46"/>
      <c r="H23" s="46"/>
      <c r="I23" s="46"/>
      <c r="J23" s="46"/>
      <c r="K23" s="46"/>
      <c r="L23" s="46"/>
    </row>
    <row r="24" spans="1:21" ht="17.25" customHeight="1">
      <c r="A24" s="50" t="s">
        <v>50</v>
      </c>
      <c r="C24" s="46"/>
      <c r="G24" s="46"/>
      <c r="H24" s="46"/>
      <c r="I24" s="46"/>
      <c r="J24" s="46"/>
      <c r="K24" s="46"/>
      <c r="L24" s="46"/>
    </row>
    <row r="25" spans="1:21" ht="17.25" customHeight="1">
      <c r="A25" s="42" t="s">
        <v>51</v>
      </c>
      <c r="C25" s="46"/>
      <c r="G25" s="46"/>
      <c r="H25" s="46"/>
      <c r="I25" s="46"/>
      <c r="J25" s="46"/>
      <c r="K25" s="46"/>
      <c r="L25" s="46"/>
    </row>
    <row r="26" spans="1:21" ht="17.25" customHeight="1">
      <c r="A26" s="50" t="s">
        <v>52</v>
      </c>
      <c r="B26" s="46"/>
      <c r="C26" s="46"/>
    </row>
    <row r="27" spans="1:21" ht="17.25" customHeight="1">
      <c r="A27" s="50"/>
      <c r="B27" s="46"/>
      <c r="C27" s="46"/>
    </row>
    <row r="28" spans="1:21" ht="27.75" customHeight="1">
      <c r="A28" s="41" t="s">
        <v>136</v>
      </c>
      <c r="B28" s="42" t="s">
        <v>139</v>
      </c>
    </row>
    <row r="29" spans="1:21" ht="17.25" customHeight="1">
      <c r="A29" s="49">
        <v>15.828753605573185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89"/>
    </row>
    <row r="30" spans="1:21" ht="17.25" customHeight="1">
      <c r="A30" s="49">
        <v>22.449931584375044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89"/>
      <c r="R30" s="90"/>
    </row>
    <row r="31" spans="1:21" ht="17.25" customHeight="1">
      <c r="A31" s="49">
        <v>29.071109563176897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89"/>
      <c r="R31" s="90"/>
    </row>
    <row r="32" spans="1:21" ht="17.25" customHeight="1">
      <c r="A32" s="49">
        <v>35.692287541978757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89"/>
      <c r="R32" s="90"/>
    </row>
    <row r="33" spans="1:18" ht="17.25" customHeight="1">
      <c r="A33" s="49">
        <v>42.313465520780611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89"/>
      <c r="R33" s="90"/>
    </row>
    <row r="34" spans="1:18" ht="17.25" customHeight="1">
      <c r="A34" s="49">
        <v>127.88443170385067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89"/>
      <c r="R34" s="90"/>
    </row>
    <row r="35" spans="1:18" ht="17.25" customHeight="1">
      <c r="A35" s="49">
        <v>135.07461716520584</v>
      </c>
      <c r="B35" s="52" t="s">
        <v>122</v>
      </c>
      <c r="R35" s="90"/>
    </row>
    <row r="36" spans="1:18" ht="17.25" customHeight="1">
      <c r="A36" s="49">
        <v>142.25187063832112</v>
      </c>
      <c r="B36" s="52" t="s">
        <v>123</v>
      </c>
      <c r="R36" s="90"/>
    </row>
    <row r="37" spans="1:18" ht="17.25" customHeight="1">
      <c r="A37" s="49">
        <v>186.06544679492401</v>
      </c>
      <c r="B37" s="52" t="s">
        <v>124</v>
      </c>
      <c r="R37" s="90"/>
    </row>
    <row r="38" spans="1:18" ht="17.25" customHeight="1">
      <c r="A38" s="49">
        <v>193.24270026803936</v>
      </c>
      <c r="B38" s="52" t="s">
        <v>125</v>
      </c>
      <c r="R38" s="90"/>
    </row>
    <row r="39" spans="1:18" ht="17.25" customHeight="1">
      <c r="A39" s="49">
        <v>200.43288572939448</v>
      </c>
      <c r="B39" s="52" t="s">
        <v>126</v>
      </c>
      <c r="R39" s="90"/>
    </row>
    <row r="40" spans="1:18" ht="17.25" customHeight="1">
      <c r="A40" s="49">
        <v>207.62307119074964</v>
      </c>
      <c r="B40" s="52" t="s">
        <v>127</v>
      </c>
      <c r="R40" s="90"/>
    </row>
    <row r="41" spans="1:18" ht="17.25" customHeight="1">
      <c r="A41" s="49">
        <v>228.00388465674902</v>
      </c>
      <c r="B41" s="52" t="s">
        <v>128</v>
      </c>
      <c r="R41" s="90"/>
    </row>
    <row r="42" spans="1:18" ht="17.25" customHeight="1">
      <c r="A42" s="49">
        <v>286.45647150085915</v>
      </c>
      <c r="B42" s="52" t="s">
        <v>129</v>
      </c>
      <c r="R42" s="90"/>
    </row>
    <row r="43" spans="1:18" ht="17.25" customHeight="1">
      <c r="A43" s="49">
        <v>293.64665696221425</v>
      </c>
      <c r="B43" s="52" t="s">
        <v>130</v>
      </c>
      <c r="K43" s="111"/>
      <c r="R43" s="90"/>
    </row>
    <row r="44" spans="1:18" ht="17.25" customHeight="1">
      <c r="A44" s="49">
        <v>300.83684242356941</v>
      </c>
      <c r="B44" s="52" t="s">
        <v>131</v>
      </c>
      <c r="R44" s="90"/>
    </row>
    <row r="45" spans="1:18" ht="17.25" customHeight="1">
      <c r="A45" s="49">
        <v>308.02702788492456</v>
      </c>
      <c r="B45" s="52" t="s">
        <v>132</v>
      </c>
      <c r="R45" s="90"/>
    </row>
    <row r="46" spans="1:18" ht="17.25" customHeight="1">
      <c r="A46" s="49">
        <v>315.21721334627983</v>
      </c>
      <c r="B46" s="52" t="s">
        <v>133</v>
      </c>
      <c r="R46" s="90"/>
    </row>
    <row r="47" spans="1:18" ht="17.25" customHeight="1">
      <c r="A47" s="49">
        <v>344.36591483889583</v>
      </c>
      <c r="B47" s="52" t="s">
        <v>134</v>
      </c>
      <c r="R47" s="90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85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86"/>
      <c r="N57" s="86"/>
      <c r="O57" s="86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85"/>
      <c r="O70" s="9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85"/>
      <c r="O71" s="9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85"/>
      <c r="O72" s="9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85"/>
      <c r="O73" s="9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85"/>
      <c r="O74" s="9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85"/>
      <c r="O75" s="9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85"/>
      <c r="O76" s="9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85"/>
      <c r="O77" s="9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85"/>
      <c r="O78" s="9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85"/>
      <c r="O79" s="9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</row>
    <row r="84" spans="1:14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92"/>
    </row>
    <row r="85" spans="1:14">
      <c r="A85" s="51"/>
      <c r="B85" s="52"/>
      <c r="N85" s="92"/>
    </row>
    <row r="86" spans="1:14">
      <c r="A86" s="51"/>
      <c r="B86" s="52"/>
      <c r="N86" s="92"/>
    </row>
    <row r="87" spans="1:14">
      <c r="A87" s="51"/>
      <c r="B87" s="52"/>
      <c r="N87" s="92"/>
    </row>
    <row r="88" spans="1:14">
      <c r="A88" s="51"/>
      <c r="B88" s="52"/>
      <c r="N88" s="92"/>
    </row>
    <row r="89" spans="1:14">
      <c r="A89" s="51"/>
      <c r="B89" s="52"/>
      <c r="N89" s="92"/>
    </row>
    <row r="90" spans="1:14">
      <c r="A90" s="51"/>
      <c r="B90" s="52"/>
      <c r="N90" s="92"/>
    </row>
    <row r="91" spans="1:14">
      <c r="A91" s="51"/>
      <c r="B91" s="52"/>
      <c r="N91" s="92"/>
    </row>
    <row r="92" spans="1:14">
      <c r="A92" s="51"/>
      <c r="B92" s="52"/>
      <c r="N92" s="92"/>
    </row>
    <row r="93" spans="1:14">
      <c r="A93" s="51"/>
      <c r="B93" s="52"/>
      <c r="N93" s="92"/>
    </row>
    <row r="94" spans="1:14">
      <c r="A94" s="51"/>
      <c r="B94" s="52"/>
      <c r="N94" s="92"/>
    </row>
    <row r="95" spans="1:14">
      <c r="A95" s="51"/>
      <c r="B95" s="52"/>
      <c r="N95" s="92"/>
    </row>
    <row r="96" spans="1:14">
      <c r="A96" s="51"/>
      <c r="B96" s="52"/>
      <c r="N96" s="92"/>
    </row>
    <row r="97" spans="1:14">
      <c r="A97" s="51"/>
      <c r="B97" s="52"/>
      <c r="N97" s="92"/>
    </row>
    <row r="98" spans="1:14">
      <c r="B98" s="52"/>
      <c r="N98" s="92"/>
    </row>
    <row r="99" spans="1:14">
      <c r="B99" s="52"/>
      <c r="N99" s="92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Z103"/>
  <sheetViews>
    <sheetView topLeftCell="A22" workbookViewId="0">
      <selection activeCell="J47" sqref="J47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4.140625" style="42" customWidth="1"/>
    <col min="7" max="7" width="6.42578125" style="42" bestFit="1" customWidth="1"/>
    <col min="8" max="8" width="10.42578125" style="42" customWidth="1"/>
    <col min="9" max="9" width="8" style="42" bestFit="1" customWidth="1"/>
    <col min="10" max="10" width="9.5703125" style="42" customWidth="1"/>
    <col min="11" max="11" width="9.5703125" style="42" bestFit="1" customWidth="1"/>
    <col min="12" max="12" width="10.7109375" style="42" bestFit="1" customWidth="1"/>
    <col min="13" max="13" width="29.5703125" style="84" hidden="1" customWidth="1"/>
    <col min="14" max="14" width="6.5703125" style="85" hidden="1" customWidth="1"/>
    <col min="15" max="15" width="36.140625" style="68" hidden="1" customWidth="1"/>
    <col min="16" max="21" width="0" style="68" hidden="1" customWidth="1"/>
    <col min="22" max="22" width="9.140625" style="68" hidden="1" customWidth="1"/>
    <col min="23" max="23" width="9.140625" style="67" hidden="1" customWidth="1"/>
    <col min="24" max="24" width="10" style="42" bestFit="1" customWidth="1"/>
    <col min="25" max="16384" width="9.140625" style="42"/>
  </cols>
  <sheetData>
    <row r="1" spans="1:21" ht="18.75">
      <c r="A1" s="58" t="s">
        <v>140</v>
      </c>
      <c r="B1" s="59"/>
      <c r="C1" s="59"/>
      <c r="D1" s="59"/>
      <c r="E1" s="59"/>
      <c r="F1" s="59"/>
      <c r="G1" s="59"/>
      <c r="H1" s="59"/>
      <c r="I1" s="60"/>
      <c r="J1" s="60"/>
      <c r="K1" s="60"/>
      <c r="L1" s="80"/>
    </row>
    <row r="2" spans="1:21" ht="26.25">
      <c r="A2" s="108" t="s">
        <v>159</v>
      </c>
      <c r="B2" s="61"/>
      <c r="C2" s="61"/>
      <c r="D2" s="59"/>
      <c r="E2" s="59"/>
      <c r="F2" s="59" t="s">
        <v>80</v>
      </c>
      <c r="G2" s="59"/>
      <c r="H2" s="59"/>
      <c r="I2" s="59"/>
      <c r="J2" s="59"/>
      <c r="K2" s="59"/>
      <c r="L2" s="81"/>
      <c r="M2" s="85"/>
    </row>
    <row r="3" spans="1:21" ht="30" customHeight="1">
      <c r="A3" s="61" t="s">
        <v>137</v>
      </c>
      <c r="B3" s="63" t="s">
        <v>114</v>
      </c>
      <c r="C3" s="63" t="s">
        <v>138</v>
      </c>
      <c r="D3" s="61" t="s">
        <v>4</v>
      </c>
      <c r="E3" s="61" t="s">
        <v>5</v>
      </c>
      <c r="F3" s="61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63" t="s">
        <v>11</v>
      </c>
      <c r="L3" s="82" t="s">
        <v>12</v>
      </c>
      <c r="M3" s="86"/>
      <c r="N3" s="86" t="s">
        <v>138</v>
      </c>
      <c r="O3" s="85" t="s">
        <v>4</v>
      </c>
    </row>
    <row r="4" spans="1:21" ht="18.75" customHeight="1">
      <c r="A4" s="64" t="s">
        <v>157</v>
      </c>
      <c r="B4" s="64" t="s">
        <v>115</v>
      </c>
      <c r="C4" s="61" t="s">
        <v>156</v>
      </c>
      <c r="D4" s="60" t="s">
        <v>84</v>
      </c>
      <c r="E4" s="61"/>
      <c r="F4" s="64" t="s">
        <v>17</v>
      </c>
      <c r="G4" s="65">
        <v>1636.233658579134</v>
      </c>
      <c r="H4" s="63"/>
      <c r="I4" s="63"/>
      <c r="J4" s="63"/>
      <c r="K4" s="63"/>
      <c r="L4" s="82"/>
      <c r="M4" s="86" t="s">
        <v>143</v>
      </c>
      <c r="N4" s="85" t="s">
        <v>156</v>
      </c>
      <c r="O4" s="68" t="s">
        <v>84</v>
      </c>
      <c r="P4" s="87">
        <f>G4/80</f>
        <v>20.452920732239175</v>
      </c>
      <c r="Q4" s="87"/>
      <c r="R4" s="87"/>
      <c r="S4" s="87"/>
      <c r="T4" s="87"/>
      <c r="U4" s="87"/>
    </row>
    <row r="5" spans="1:21" ht="18.75" customHeight="1">
      <c r="A5" s="64" t="s">
        <v>15</v>
      </c>
      <c r="B5" s="64" t="s">
        <v>115</v>
      </c>
      <c r="C5" s="64" t="s">
        <v>148</v>
      </c>
      <c r="D5" s="60" t="s">
        <v>16</v>
      </c>
      <c r="E5" s="60">
        <v>353</v>
      </c>
      <c r="F5" s="64" t="s">
        <v>17</v>
      </c>
      <c r="G5" s="65">
        <v>2337.4766551130488</v>
      </c>
      <c r="H5" s="65">
        <v>2430.9757213175703</v>
      </c>
      <c r="I5" s="65">
        <v>2528.2147501702734</v>
      </c>
      <c r="J5" s="65">
        <v>2629.3433401770844</v>
      </c>
      <c r="K5" s="65">
        <v>2734.5170737841681</v>
      </c>
      <c r="L5" s="83">
        <v>2843.897756735535</v>
      </c>
      <c r="M5" s="84" t="s">
        <v>144</v>
      </c>
      <c r="N5" s="84" t="s">
        <v>148</v>
      </c>
      <c r="O5" s="68" t="s">
        <v>16</v>
      </c>
      <c r="P5" s="87">
        <f>G5/109.2</f>
        <v>21.405463874661617</v>
      </c>
      <c r="Q5" s="87">
        <f t="shared" ref="Q5:U5" si="0">H5/109.2</f>
        <v>22.261682429648079</v>
      </c>
      <c r="R5" s="87">
        <f t="shared" si="0"/>
        <v>23.152149726834004</v>
      </c>
      <c r="S5" s="87">
        <f t="shared" si="0"/>
        <v>24.078235715907365</v>
      </c>
      <c r="T5" s="87">
        <f t="shared" si="0"/>
        <v>25.041365144543665</v>
      </c>
      <c r="U5" s="87">
        <f t="shared" si="0"/>
        <v>26.043019750325413</v>
      </c>
    </row>
    <row r="6" spans="1:21" ht="18.75" customHeight="1">
      <c r="A6" s="64" t="s">
        <v>19</v>
      </c>
      <c r="B6" s="64" t="s">
        <v>115</v>
      </c>
      <c r="C6" s="64" t="s">
        <v>149</v>
      </c>
      <c r="D6" s="60" t="s">
        <v>20</v>
      </c>
      <c r="E6" s="60">
        <v>353</v>
      </c>
      <c r="F6" s="64" t="s">
        <v>17</v>
      </c>
      <c r="G6" s="65">
        <v>2337.4766551130488</v>
      </c>
      <c r="H6" s="65">
        <v>2430.9757213175703</v>
      </c>
      <c r="I6" s="65">
        <v>2528.2147501702734</v>
      </c>
      <c r="J6" s="65">
        <v>2629.3433401770844</v>
      </c>
      <c r="K6" s="65">
        <v>2734.5170737841681</v>
      </c>
      <c r="L6" s="83">
        <v>2843.897756735535</v>
      </c>
      <c r="M6" s="84" t="s">
        <v>143</v>
      </c>
      <c r="N6" s="84" t="s">
        <v>149</v>
      </c>
      <c r="O6" s="68" t="s">
        <v>20</v>
      </c>
      <c r="P6" s="87">
        <f t="shared" ref="P6:U6" si="1">G6/80</f>
        <v>29.218458188913111</v>
      </c>
      <c r="Q6" s="87">
        <f t="shared" si="1"/>
        <v>30.387196516469629</v>
      </c>
      <c r="R6" s="87">
        <f t="shared" si="1"/>
        <v>31.602684377128419</v>
      </c>
      <c r="S6" s="87">
        <f t="shared" si="1"/>
        <v>32.866791752213558</v>
      </c>
      <c r="T6" s="87">
        <f t="shared" si="1"/>
        <v>34.181463422302102</v>
      </c>
      <c r="U6" s="87">
        <f t="shared" si="1"/>
        <v>35.548721959194189</v>
      </c>
    </row>
    <row r="7" spans="1:21" ht="18.75" customHeight="1">
      <c r="A7" s="64" t="s">
        <v>21</v>
      </c>
      <c r="B7" s="64" t="s">
        <v>115</v>
      </c>
      <c r="C7" s="64" t="s">
        <v>148</v>
      </c>
      <c r="D7" s="60" t="s">
        <v>22</v>
      </c>
      <c r="E7" s="60"/>
      <c r="F7" s="64" t="s">
        <v>17</v>
      </c>
      <c r="G7" s="65">
        <v>2337.4766551130488</v>
      </c>
      <c r="H7" s="65">
        <v>2430.9757213175703</v>
      </c>
      <c r="I7" s="65">
        <v>2528.2147501702734</v>
      </c>
      <c r="J7" s="65">
        <v>2629.3433401770844</v>
      </c>
      <c r="K7" s="65">
        <v>2734.5170737841681</v>
      </c>
      <c r="L7" s="83">
        <v>2843.897756735535</v>
      </c>
      <c r="M7" s="84" t="s">
        <v>144</v>
      </c>
      <c r="N7" s="84" t="s">
        <v>148</v>
      </c>
      <c r="O7" s="68" t="s">
        <v>22</v>
      </c>
      <c r="P7" s="87">
        <f t="shared" ref="P7:U8" si="2">G7/109.2</f>
        <v>21.405463874661617</v>
      </c>
      <c r="Q7" s="87">
        <f t="shared" si="2"/>
        <v>22.261682429648079</v>
      </c>
      <c r="R7" s="87">
        <f t="shared" si="2"/>
        <v>23.152149726834004</v>
      </c>
      <c r="S7" s="87">
        <f t="shared" si="2"/>
        <v>24.078235715907365</v>
      </c>
      <c r="T7" s="87">
        <f t="shared" si="2"/>
        <v>25.041365144543665</v>
      </c>
      <c r="U7" s="87">
        <f t="shared" si="2"/>
        <v>26.043019750325413</v>
      </c>
    </row>
    <row r="8" spans="1:21" ht="18.75" customHeight="1">
      <c r="A8" s="64" t="s">
        <v>23</v>
      </c>
      <c r="B8" s="64" t="s">
        <v>115</v>
      </c>
      <c r="C8" s="64" t="s">
        <v>150</v>
      </c>
      <c r="D8" s="60" t="s">
        <v>24</v>
      </c>
      <c r="E8" s="60"/>
      <c r="F8" s="64" t="s">
        <v>17</v>
      </c>
      <c r="G8" s="65">
        <v>2897.6071998367283</v>
      </c>
      <c r="H8" s="65">
        <v>3011.3914431161506</v>
      </c>
      <c r="I8" s="65">
        <v>3194.3546380353987</v>
      </c>
      <c r="J8" s="65"/>
      <c r="K8" s="65"/>
      <c r="L8" s="83"/>
      <c r="M8" s="84" t="s">
        <v>144</v>
      </c>
      <c r="N8" s="84" t="s">
        <v>150</v>
      </c>
      <c r="O8" s="68" t="s">
        <v>24</v>
      </c>
      <c r="P8" s="87">
        <f t="shared" si="2"/>
        <v>26.534864467369307</v>
      </c>
      <c r="Q8" s="87">
        <f t="shared" si="2"/>
        <v>27.576844717180865</v>
      </c>
      <c r="R8" s="87">
        <f t="shared" si="2"/>
        <v>29.252331850141012</v>
      </c>
      <c r="S8" s="87">
        <f t="shared" si="2"/>
        <v>0</v>
      </c>
      <c r="T8" s="87">
        <f t="shared" si="2"/>
        <v>0</v>
      </c>
      <c r="U8" s="87"/>
    </row>
    <row r="9" spans="1:21" ht="18.75" customHeight="1">
      <c r="A9" s="64" t="s">
        <v>77</v>
      </c>
      <c r="B9" s="64" t="s">
        <v>115</v>
      </c>
      <c r="C9" s="64" t="s">
        <v>151</v>
      </c>
      <c r="D9" s="60" t="s">
        <v>26</v>
      </c>
      <c r="E9" s="60"/>
      <c r="F9" s="64" t="s">
        <v>17</v>
      </c>
      <c r="G9" s="65">
        <v>2897.6071998367283</v>
      </c>
      <c r="H9" s="65">
        <v>3011.3914431161506</v>
      </c>
      <c r="I9" s="65">
        <v>3194.3546380353987</v>
      </c>
      <c r="J9" s="65"/>
      <c r="K9" s="65"/>
      <c r="L9" s="83"/>
      <c r="M9" s="84" t="s">
        <v>143</v>
      </c>
      <c r="N9" s="84" t="s">
        <v>151</v>
      </c>
      <c r="O9" s="68" t="s">
        <v>26</v>
      </c>
      <c r="P9" s="87">
        <f t="shared" ref="P9:R9" si="3">G9/80</f>
        <v>36.220089997959107</v>
      </c>
      <c r="Q9" s="87">
        <f t="shared" si="3"/>
        <v>37.64239303895188</v>
      </c>
      <c r="R9" s="87">
        <f t="shared" si="3"/>
        <v>39.929432975442481</v>
      </c>
      <c r="S9" s="87"/>
      <c r="T9" s="87"/>
      <c r="U9" s="87"/>
    </row>
    <row r="10" spans="1:21" ht="18.75" customHeight="1">
      <c r="A10" s="64" t="s">
        <v>27</v>
      </c>
      <c r="B10" s="64" t="s">
        <v>115</v>
      </c>
      <c r="C10" s="64" t="s">
        <v>150</v>
      </c>
      <c r="D10" s="60" t="s">
        <v>28</v>
      </c>
      <c r="E10" s="60"/>
      <c r="F10" s="64" t="s">
        <v>17</v>
      </c>
      <c r="G10" s="65">
        <v>2897.6071998367283</v>
      </c>
      <c r="H10" s="65">
        <v>3011.3914431161506</v>
      </c>
      <c r="I10" s="65">
        <v>3194.3546380353987</v>
      </c>
      <c r="J10" s="65"/>
      <c r="K10" s="65"/>
      <c r="L10" s="83"/>
      <c r="M10" s="84" t="s">
        <v>144</v>
      </c>
      <c r="N10" s="84" t="s">
        <v>150</v>
      </c>
      <c r="O10" s="68" t="s">
        <v>28</v>
      </c>
      <c r="P10" s="87">
        <f t="shared" ref="P10:R11" si="4">G10/109.2</f>
        <v>26.534864467369307</v>
      </c>
      <c r="Q10" s="87">
        <f t="shared" si="4"/>
        <v>27.576844717180865</v>
      </c>
      <c r="R10" s="87">
        <f t="shared" si="4"/>
        <v>29.252331850141012</v>
      </c>
      <c r="S10" s="87"/>
      <c r="T10" s="87"/>
      <c r="U10" s="87"/>
    </row>
    <row r="11" spans="1:21" ht="18.75" customHeight="1">
      <c r="A11" s="64" t="s">
        <v>29</v>
      </c>
      <c r="B11" s="64" t="s">
        <v>115</v>
      </c>
      <c r="C11" s="64" t="s">
        <v>152</v>
      </c>
      <c r="D11" s="60" t="s">
        <v>30</v>
      </c>
      <c r="E11" s="60"/>
      <c r="F11" s="64" t="s">
        <v>17</v>
      </c>
      <c r="G11" s="65">
        <v>3284.4736269867617</v>
      </c>
      <c r="H11" s="65">
        <v>3414.6933720732109</v>
      </c>
      <c r="I11" s="65">
        <v>3623.6966475983309</v>
      </c>
      <c r="J11" s="65"/>
      <c r="K11" s="65"/>
      <c r="L11" s="83"/>
      <c r="M11" s="84" t="s">
        <v>144</v>
      </c>
      <c r="N11" s="84" t="s">
        <v>152</v>
      </c>
      <c r="O11" s="68" t="s">
        <v>30</v>
      </c>
      <c r="P11" s="87">
        <f t="shared" si="4"/>
        <v>30.077597316728585</v>
      </c>
      <c r="Q11" s="87">
        <f t="shared" si="4"/>
        <v>31.270085824846252</v>
      </c>
      <c r="R11" s="87">
        <f t="shared" si="4"/>
        <v>33.184035234416946</v>
      </c>
      <c r="S11" s="87"/>
      <c r="T11" s="87"/>
      <c r="U11" s="87"/>
    </row>
    <row r="12" spans="1:21" ht="18.75" customHeight="1">
      <c r="A12" s="64" t="s">
        <v>31</v>
      </c>
      <c r="B12" s="64" t="s">
        <v>115</v>
      </c>
      <c r="C12" s="64" t="s">
        <v>153</v>
      </c>
      <c r="D12" s="60" t="s">
        <v>32</v>
      </c>
      <c r="E12" s="60"/>
      <c r="F12" s="64" t="s">
        <v>17</v>
      </c>
      <c r="G12" s="65">
        <v>3284.4736269867617</v>
      </c>
      <c r="H12" s="65">
        <v>3414.6933720732109</v>
      </c>
      <c r="I12" s="65">
        <v>3623.6966475983309</v>
      </c>
      <c r="J12" s="65"/>
      <c r="K12" s="65"/>
      <c r="L12" s="83"/>
      <c r="M12" s="84" t="s">
        <v>143</v>
      </c>
      <c r="N12" s="84" t="s">
        <v>153</v>
      </c>
      <c r="O12" s="68" t="s">
        <v>32</v>
      </c>
      <c r="P12" s="87">
        <f t="shared" ref="P12:R12" si="5">G12/80</f>
        <v>41.05592033733452</v>
      </c>
      <c r="Q12" s="87">
        <f t="shared" si="5"/>
        <v>42.683667150915134</v>
      </c>
      <c r="R12" s="87">
        <f t="shared" si="5"/>
        <v>45.296208094979136</v>
      </c>
      <c r="S12" s="87"/>
      <c r="T12" s="87"/>
      <c r="U12" s="87"/>
    </row>
    <row r="13" spans="1:21" ht="18.75" customHeight="1">
      <c r="A13" s="64" t="s">
        <v>33</v>
      </c>
      <c r="B13" s="64" t="s">
        <v>115</v>
      </c>
      <c r="C13" s="64" t="s">
        <v>152</v>
      </c>
      <c r="D13" s="60" t="s">
        <v>34</v>
      </c>
      <c r="E13" s="60"/>
      <c r="F13" s="64" t="s">
        <v>17</v>
      </c>
      <c r="G13" s="65">
        <v>3284.4736269867617</v>
      </c>
      <c r="H13" s="65">
        <v>3414.6933720732109</v>
      </c>
      <c r="I13" s="65">
        <v>3623.6966475983309</v>
      </c>
      <c r="J13" s="65"/>
      <c r="K13" s="65"/>
      <c r="L13" s="83"/>
      <c r="M13" s="84" t="s">
        <v>144</v>
      </c>
      <c r="N13" s="84" t="s">
        <v>152</v>
      </c>
      <c r="O13" s="68" t="s">
        <v>34</v>
      </c>
      <c r="P13" s="87">
        <f t="shared" ref="P13:R13" si="6">G13/109.2</f>
        <v>30.077597316728585</v>
      </c>
      <c r="Q13" s="87">
        <f t="shared" si="6"/>
        <v>31.270085824846252</v>
      </c>
      <c r="R13" s="87">
        <f t="shared" si="6"/>
        <v>33.184035234416946</v>
      </c>
      <c r="S13" s="87"/>
      <c r="T13" s="87"/>
      <c r="U13" s="87"/>
    </row>
    <row r="14" spans="1:21" ht="18.75" customHeight="1">
      <c r="A14" s="64" t="s">
        <v>35</v>
      </c>
      <c r="B14" s="64" t="s">
        <v>115</v>
      </c>
      <c r="C14" s="64" t="s">
        <v>153</v>
      </c>
      <c r="D14" s="60" t="s">
        <v>36</v>
      </c>
      <c r="E14" s="60"/>
      <c r="F14" s="64" t="s">
        <v>17</v>
      </c>
      <c r="G14" s="65">
        <v>3284.4736269867617</v>
      </c>
      <c r="H14" s="65">
        <v>3414.6933720732109</v>
      </c>
      <c r="I14" s="65">
        <v>3623.6966475983309</v>
      </c>
      <c r="J14" s="65"/>
      <c r="K14" s="65"/>
      <c r="L14" s="83"/>
      <c r="M14" s="84" t="s">
        <v>143</v>
      </c>
      <c r="N14" s="84" t="s">
        <v>153</v>
      </c>
      <c r="O14" s="68" t="s">
        <v>36</v>
      </c>
      <c r="P14" s="87">
        <f>G14/80</f>
        <v>41.05592033733452</v>
      </c>
      <c r="Q14" s="87">
        <f t="shared" ref="Q14:R14" si="7">H14/80</f>
        <v>42.683667150915134</v>
      </c>
      <c r="R14" s="87">
        <f t="shared" si="7"/>
        <v>45.296208094979136</v>
      </c>
      <c r="S14" s="87"/>
      <c r="T14" s="87"/>
      <c r="U14" s="87"/>
    </row>
    <row r="15" spans="1:21" ht="18.75" customHeight="1">
      <c r="A15" s="64" t="s">
        <v>37</v>
      </c>
      <c r="B15" s="64" t="s">
        <v>115</v>
      </c>
      <c r="C15" s="64" t="s">
        <v>152</v>
      </c>
      <c r="D15" s="60" t="s">
        <v>38</v>
      </c>
      <c r="E15" s="60"/>
      <c r="F15" s="64" t="s">
        <v>17</v>
      </c>
      <c r="G15" s="65">
        <v>3284.4736269867617</v>
      </c>
      <c r="H15" s="65">
        <v>3414.6933720732109</v>
      </c>
      <c r="I15" s="65">
        <v>3623.6966475983309</v>
      </c>
      <c r="J15" s="65"/>
      <c r="K15" s="65"/>
      <c r="L15" s="83"/>
      <c r="M15" s="84" t="s">
        <v>144</v>
      </c>
      <c r="N15" s="84" t="s">
        <v>152</v>
      </c>
      <c r="O15" s="68" t="s">
        <v>38</v>
      </c>
      <c r="P15" s="87">
        <f t="shared" ref="P15:T17" si="8">G15/80</f>
        <v>41.05592033733452</v>
      </c>
      <c r="Q15" s="87">
        <f t="shared" si="8"/>
        <v>42.683667150915134</v>
      </c>
      <c r="R15" s="87">
        <f t="shared" si="8"/>
        <v>45.296208094979136</v>
      </c>
      <c r="S15" s="87"/>
      <c r="T15" s="87"/>
      <c r="U15" s="87"/>
    </row>
    <row r="16" spans="1:21" ht="18.75" customHeight="1">
      <c r="A16" s="64" t="s">
        <v>41</v>
      </c>
      <c r="B16" s="64" t="s">
        <v>115</v>
      </c>
      <c r="C16" s="64" t="s">
        <v>154</v>
      </c>
      <c r="D16" s="66" t="s">
        <v>113</v>
      </c>
      <c r="E16" s="60"/>
      <c r="F16" s="64" t="s">
        <v>17</v>
      </c>
      <c r="G16" s="65">
        <v>3361.5940585428134</v>
      </c>
      <c r="H16" s="65">
        <v>3418.486180182525</v>
      </c>
      <c r="I16" s="65">
        <v>3476.6425711920069</v>
      </c>
      <c r="J16" s="65">
        <v>3534.7989622014898</v>
      </c>
      <c r="K16" s="65">
        <v>3750.4301323488353</v>
      </c>
      <c r="L16" s="83"/>
      <c r="M16" s="84" t="s">
        <v>144</v>
      </c>
      <c r="N16" s="84" t="s">
        <v>154</v>
      </c>
      <c r="O16" s="88" t="s">
        <v>113</v>
      </c>
      <c r="P16" s="87">
        <f>G16/109.2</f>
        <v>30.783828374934188</v>
      </c>
      <c r="Q16" s="87">
        <f t="shared" ref="Q16:T16" si="9">H16/109.2</f>
        <v>31.304818499839971</v>
      </c>
      <c r="R16" s="87">
        <f t="shared" si="9"/>
        <v>31.837386183076987</v>
      </c>
      <c r="S16" s="87">
        <f t="shared" si="9"/>
        <v>32.369953866314006</v>
      </c>
      <c r="T16" s="87">
        <f t="shared" si="9"/>
        <v>34.344598281582741</v>
      </c>
      <c r="U16" s="87"/>
    </row>
    <row r="17" spans="1:21" ht="18.75" customHeight="1">
      <c r="A17" s="64" t="s">
        <v>39</v>
      </c>
      <c r="B17" s="64" t="s">
        <v>115</v>
      </c>
      <c r="C17" s="64" t="s">
        <v>155</v>
      </c>
      <c r="D17" s="60" t="s">
        <v>42</v>
      </c>
      <c r="E17" s="59"/>
      <c r="F17" s="64" t="s">
        <v>17</v>
      </c>
      <c r="G17" s="65">
        <v>3361.5940585428134</v>
      </c>
      <c r="H17" s="65">
        <v>3418.486180182525</v>
      </c>
      <c r="I17" s="65">
        <v>3476.6425711920069</v>
      </c>
      <c r="J17" s="65">
        <v>3534.7989622014898</v>
      </c>
      <c r="K17" s="65">
        <v>3750.4301323488353</v>
      </c>
      <c r="L17" s="83"/>
      <c r="M17" s="84" t="s">
        <v>143</v>
      </c>
      <c r="N17" s="84" t="s">
        <v>155</v>
      </c>
      <c r="O17" s="68" t="s">
        <v>42</v>
      </c>
      <c r="P17" s="87">
        <f>G17/80</f>
        <v>42.019925731785165</v>
      </c>
      <c r="Q17" s="87">
        <f t="shared" si="8"/>
        <v>42.731077252281565</v>
      </c>
      <c r="R17" s="87">
        <f t="shared" si="8"/>
        <v>43.458032139900084</v>
      </c>
      <c r="S17" s="87">
        <f t="shared" si="8"/>
        <v>44.184987027518623</v>
      </c>
      <c r="T17" s="87">
        <f t="shared" si="8"/>
        <v>46.88037665436044</v>
      </c>
      <c r="U17" s="87"/>
    </row>
    <row r="18" spans="1:21" ht="27.75" customHeight="1">
      <c r="A18" s="42" t="s">
        <v>141</v>
      </c>
      <c r="C18" s="46"/>
      <c r="G18" s="46"/>
      <c r="H18" s="46"/>
      <c r="I18" s="46"/>
      <c r="J18" s="46"/>
      <c r="K18" s="46"/>
      <c r="L18" s="46"/>
    </row>
    <row r="19" spans="1:21">
      <c r="B19" s="49">
        <v>0.91817116502916352</v>
      </c>
      <c r="C19" s="50" t="s">
        <v>45</v>
      </c>
      <c r="G19" s="46"/>
      <c r="H19" s="46"/>
      <c r="I19" s="46"/>
      <c r="J19" s="46"/>
      <c r="K19" s="46"/>
      <c r="L19" s="46"/>
      <c r="R19" s="84"/>
    </row>
    <row r="20" spans="1:21">
      <c r="B20" s="49">
        <v>0.40089163543526862</v>
      </c>
      <c r="C20" s="50" t="s">
        <v>46</v>
      </c>
      <c r="G20" s="46"/>
      <c r="H20" s="46"/>
      <c r="I20" s="46"/>
      <c r="J20" s="46"/>
      <c r="K20" s="46"/>
      <c r="L20" s="46"/>
      <c r="R20" s="84"/>
    </row>
    <row r="21" spans="1:21" ht="17.25" customHeight="1">
      <c r="A21" s="42" t="s">
        <v>111</v>
      </c>
      <c r="C21" s="46"/>
      <c r="G21" s="46"/>
      <c r="H21" s="46"/>
      <c r="I21" s="46"/>
      <c r="J21" s="46"/>
      <c r="K21" s="46"/>
      <c r="L21" s="46"/>
    </row>
    <row r="22" spans="1:21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</row>
    <row r="23" spans="1:21" ht="27.75" customHeight="1">
      <c r="A23" s="41" t="s">
        <v>107</v>
      </c>
      <c r="C23" s="46"/>
      <c r="G23" s="46"/>
      <c r="H23" s="46"/>
      <c r="I23" s="46"/>
      <c r="J23" s="46"/>
      <c r="K23" s="46"/>
      <c r="L23" s="46"/>
    </row>
    <row r="24" spans="1:21" ht="17.25" customHeight="1">
      <c r="A24" s="50" t="s">
        <v>50</v>
      </c>
      <c r="C24" s="46"/>
      <c r="G24" s="46"/>
      <c r="H24" s="46"/>
      <c r="I24" s="46"/>
      <c r="J24" s="46"/>
      <c r="K24" s="46"/>
      <c r="L24" s="46"/>
    </row>
    <row r="25" spans="1:21" ht="17.25" customHeight="1">
      <c r="A25" s="42" t="s">
        <v>51</v>
      </c>
      <c r="C25" s="46"/>
      <c r="G25" s="46"/>
      <c r="H25" s="46"/>
      <c r="I25" s="46"/>
      <c r="J25" s="46"/>
      <c r="K25" s="46"/>
      <c r="L25" s="46"/>
    </row>
    <row r="26" spans="1:21" ht="17.25" customHeight="1">
      <c r="A26" s="50" t="s">
        <v>52</v>
      </c>
      <c r="B26" s="46"/>
      <c r="C26" s="46"/>
    </row>
    <row r="27" spans="1:21" ht="17.25" customHeight="1">
      <c r="A27" s="50"/>
      <c r="B27" s="46"/>
      <c r="C27" s="46"/>
    </row>
    <row r="28" spans="1:21" ht="27.75" customHeight="1">
      <c r="A28" s="41" t="s">
        <v>136</v>
      </c>
      <c r="B28" s="42" t="s">
        <v>139</v>
      </c>
    </row>
    <row r="29" spans="1:21" ht="17.25" customHeight="1">
      <c r="A29" s="49">
        <v>15.828753605573185</v>
      </c>
      <c r="B29" s="52" t="s">
        <v>135</v>
      </c>
      <c r="C29" s="52"/>
      <c r="D29" s="52"/>
      <c r="E29" s="52"/>
      <c r="F29" s="52"/>
      <c r="G29" s="52"/>
      <c r="H29" s="52"/>
      <c r="I29" s="114">
        <f>ROUND(A29/80,3)</f>
        <v>0.19800000000000001</v>
      </c>
      <c r="J29" s="52"/>
      <c r="K29" s="52"/>
      <c r="L29" s="52"/>
      <c r="M29" s="89"/>
    </row>
    <row r="30" spans="1:21" ht="17.25" customHeight="1">
      <c r="A30" s="49">
        <v>22.449931584375044</v>
      </c>
      <c r="B30" s="52" t="s">
        <v>117</v>
      </c>
      <c r="C30" s="52"/>
      <c r="D30" s="52"/>
      <c r="E30" s="52"/>
      <c r="F30" s="52"/>
      <c r="G30" s="52"/>
      <c r="H30" s="52"/>
      <c r="I30" s="114">
        <f t="shared" ref="I30:I47" si="10">ROUND(A30/80,3)</f>
        <v>0.28100000000000003</v>
      </c>
      <c r="J30" s="52"/>
      <c r="K30" s="52"/>
      <c r="L30" s="52"/>
      <c r="M30" s="89"/>
      <c r="R30" s="90"/>
    </row>
    <row r="31" spans="1:21" ht="17.25" customHeight="1">
      <c r="A31" s="49">
        <v>29.071109563176897</v>
      </c>
      <c r="B31" s="52" t="s">
        <v>118</v>
      </c>
      <c r="C31" s="57"/>
      <c r="D31" s="57"/>
      <c r="E31" s="57"/>
      <c r="F31" s="57"/>
      <c r="G31" s="57"/>
      <c r="H31" s="57"/>
      <c r="I31" s="114">
        <f t="shared" si="10"/>
        <v>0.36299999999999999</v>
      </c>
      <c r="J31" s="57"/>
      <c r="K31" s="57"/>
      <c r="L31" s="57"/>
      <c r="M31" s="89"/>
      <c r="R31" s="90"/>
    </row>
    <row r="32" spans="1:21" ht="17.25" customHeight="1">
      <c r="A32" s="49">
        <v>35.692287541978757</v>
      </c>
      <c r="B32" s="52" t="s">
        <v>119</v>
      </c>
      <c r="C32" s="57"/>
      <c r="D32" s="57"/>
      <c r="E32" s="57"/>
      <c r="F32" s="57"/>
      <c r="G32" s="57"/>
      <c r="H32" s="57"/>
      <c r="I32" s="114">
        <f t="shared" si="10"/>
        <v>0.44600000000000001</v>
      </c>
      <c r="J32" s="57"/>
      <c r="K32" s="57"/>
      <c r="L32" s="57"/>
      <c r="M32" s="89"/>
      <c r="R32" s="90"/>
    </row>
    <row r="33" spans="1:26" ht="17.25" customHeight="1">
      <c r="A33" s="49">
        <v>42.313465520780611</v>
      </c>
      <c r="B33" s="52" t="s">
        <v>120</v>
      </c>
      <c r="C33" s="57"/>
      <c r="D33" s="57"/>
      <c r="E33" s="57"/>
      <c r="F33" s="57"/>
      <c r="G33" s="57"/>
      <c r="H33" s="57"/>
      <c r="I33" s="114">
        <f t="shared" si="10"/>
        <v>0.52900000000000003</v>
      </c>
      <c r="J33" s="57"/>
      <c r="K33" s="57"/>
      <c r="L33" s="57"/>
      <c r="M33" s="89"/>
      <c r="R33" s="90"/>
    </row>
    <row r="34" spans="1:26" ht="17.25" customHeight="1">
      <c r="A34" s="49">
        <v>127.88443170385067</v>
      </c>
      <c r="B34" s="52" t="s">
        <v>121</v>
      </c>
      <c r="C34" s="57"/>
      <c r="D34" s="57"/>
      <c r="E34" s="57"/>
      <c r="F34" s="57"/>
      <c r="G34" s="57"/>
      <c r="H34" s="57"/>
      <c r="I34" s="114">
        <f t="shared" si="10"/>
        <v>1.599</v>
      </c>
      <c r="J34" s="57"/>
      <c r="K34" s="57"/>
      <c r="L34" s="57"/>
      <c r="M34" s="89"/>
      <c r="R34" s="90"/>
    </row>
    <row r="35" spans="1:26" ht="17.25" customHeight="1">
      <c r="A35" s="49">
        <v>135.07461716520584</v>
      </c>
      <c r="B35" s="52" t="s">
        <v>122</v>
      </c>
      <c r="I35" s="114">
        <f t="shared" si="10"/>
        <v>1.6879999999999999</v>
      </c>
      <c r="R35" s="90"/>
    </row>
    <row r="36" spans="1:26" ht="17.25" customHeight="1">
      <c r="A36" s="49">
        <v>142.25187063832112</v>
      </c>
      <c r="B36" s="52" t="s">
        <v>123</v>
      </c>
      <c r="I36" s="114">
        <f t="shared" si="10"/>
        <v>1.778</v>
      </c>
      <c r="R36" s="90"/>
    </row>
    <row r="37" spans="1:26" ht="17.25" customHeight="1">
      <c r="A37" s="49">
        <v>186.06544679492401</v>
      </c>
      <c r="B37" s="52" t="s">
        <v>124</v>
      </c>
      <c r="I37" s="114">
        <f t="shared" si="10"/>
        <v>2.3260000000000001</v>
      </c>
      <c r="R37" s="90"/>
    </row>
    <row r="38" spans="1:26" ht="17.25" customHeight="1">
      <c r="A38" s="49">
        <v>193.24270026803936</v>
      </c>
      <c r="B38" s="52" t="s">
        <v>125</v>
      </c>
      <c r="I38" s="114">
        <f t="shared" si="10"/>
        <v>2.4159999999999999</v>
      </c>
      <c r="R38" s="90"/>
    </row>
    <row r="39" spans="1:26" ht="17.25" customHeight="1">
      <c r="A39" s="49">
        <v>200.43288572939448</v>
      </c>
      <c r="B39" s="52" t="s">
        <v>126</v>
      </c>
      <c r="I39" s="114">
        <f t="shared" si="10"/>
        <v>2.5049999999999999</v>
      </c>
      <c r="R39" s="90"/>
    </row>
    <row r="40" spans="1:26" ht="17.25" customHeight="1">
      <c r="A40" s="49">
        <v>207.62307119074964</v>
      </c>
      <c r="B40" s="52" t="s">
        <v>127</v>
      </c>
      <c r="I40" s="114">
        <f t="shared" si="10"/>
        <v>2.5950000000000002</v>
      </c>
      <c r="R40" s="90"/>
    </row>
    <row r="41" spans="1:26" ht="17.25" customHeight="1">
      <c r="A41" s="49">
        <v>228.00388465674902</v>
      </c>
      <c r="B41" s="52" t="s">
        <v>128</v>
      </c>
      <c r="I41" s="114">
        <f t="shared" si="10"/>
        <v>2.85</v>
      </c>
      <c r="R41" s="90"/>
    </row>
    <row r="42" spans="1:26" ht="17.25" customHeight="1">
      <c r="A42" s="49">
        <v>286.45647150085915</v>
      </c>
      <c r="B42" s="52" t="s">
        <v>129</v>
      </c>
      <c r="H42" s="119"/>
      <c r="I42" s="114">
        <f t="shared" si="10"/>
        <v>3.581</v>
      </c>
      <c r="J42" s="119"/>
      <c r="K42" s="124"/>
      <c r="L42" s="125"/>
      <c r="M42" s="118"/>
      <c r="N42" s="118"/>
      <c r="O42" s="118"/>
      <c r="P42" s="118"/>
      <c r="Q42" s="118"/>
      <c r="R42" s="122"/>
      <c r="S42" s="118"/>
      <c r="T42" s="118"/>
      <c r="U42" s="118"/>
      <c r="V42" s="118"/>
      <c r="W42" s="123"/>
      <c r="X42" s="121"/>
      <c r="Y42" s="121"/>
    </row>
    <row r="43" spans="1:26" ht="17.25" customHeight="1">
      <c r="A43" s="49">
        <v>293.64665696221425</v>
      </c>
      <c r="B43" s="52" t="s">
        <v>130</v>
      </c>
      <c r="H43" s="49"/>
      <c r="I43" s="114">
        <f t="shared" si="10"/>
        <v>3.6709999999999998</v>
      </c>
      <c r="J43" s="49"/>
      <c r="K43" s="126"/>
      <c r="L43" s="127"/>
      <c r="O43" s="84"/>
      <c r="P43" s="84"/>
      <c r="Q43" s="84"/>
      <c r="R43" s="116"/>
      <c r="S43" s="84"/>
      <c r="T43" s="84"/>
      <c r="U43" s="84"/>
      <c r="V43" s="84"/>
      <c r="W43" s="74"/>
      <c r="X43" s="49"/>
      <c r="Y43" s="113"/>
      <c r="Z43" s="111"/>
    </row>
    <row r="44" spans="1:26" ht="17.25" customHeight="1">
      <c r="A44" s="49">
        <v>300.83684242356941</v>
      </c>
      <c r="B44" s="52" t="s">
        <v>131</v>
      </c>
      <c r="H44" s="49"/>
      <c r="I44" s="114">
        <f t="shared" si="10"/>
        <v>3.76</v>
      </c>
      <c r="J44" s="49"/>
      <c r="K44" s="126"/>
      <c r="L44" s="127"/>
      <c r="O44" s="84"/>
      <c r="P44" s="84"/>
      <c r="Q44" s="84"/>
      <c r="R44" s="116"/>
      <c r="S44" s="84"/>
      <c r="T44" s="84"/>
      <c r="U44" s="84"/>
      <c r="V44" s="84"/>
      <c r="W44" s="74"/>
      <c r="X44" s="49"/>
      <c r="Y44" s="113"/>
    </row>
    <row r="45" spans="1:26" ht="17.25" customHeight="1">
      <c r="A45" s="49">
        <v>308.02702788492456</v>
      </c>
      <c r="B45" s="52" t="s">
        <v>132</v>
      </c>
      <c r="H45" s="49"/>
      <c r="I45" s="114">
        <f t="shared" si="10"/>
        <v>3.85</v>
      </c>
      <c r="J45" s="49"/>
      <c r="K45" s="126"/>
      <c r="L45" s="127"/>
      <c r="O45" s="84"/>
      <c r="P45" s="84"/>
      <c r="Q45" s="84"/>
      <c r="R45" s="116"/>
      <c r="S45" s="84"/>
      <c r="T45" s="84"/>
      <c r="U45" s="84"/>
      <c r="V45" s="84"/>
      <c r="W45" s="74"/>
      <c r="X45" s="49"/>
      <c r="Y45" s="113"/>
    </row>
    <row r="46" spans="1:26" ht="17.25" customHeight="1">
      <c r="A46" s="49">
        <v>315.21721334627983</v>
      </c>
      <c r="B46" s="52" t="s">
        <v>133</v>
      </c>
      <c r="H46" s="49"/>
      <c r="I46" s="114">
        <f t="shared" si="10"/>
        <v>3.94</v>
      </c>
      <c r="J46" s="49"/>
      <c r="K46" s="126"/>
      <c r="L46" s="127"/>
      <c r="O46" s="84"/>
      <c r="P46" s="84"/>
      <c r="Q46" s="84"/>
      <c r="R46" s="116"/>
      <c r="S46" s="84"/>
      <c r="T46" s="84"/>
      <c r="U46" s="84"/>
      <c r="V46" s="84"/>
      <c r="W46" s="74"/>
      <c r="X46" s="49"/>
      <c r="Y46" s="113"/>
    </row>
    <row r="47" spans="1:26" ht="17.25" customHeight="1">
      <c r="A47" s="49">
        <v>344.36591483889583</v>
      </c>
      <c r="B47" s="52" t="s">
        <v>134</v>
      </c>
      <c r="H47" s="49"/>
      <c r="I47" s="114">
        <f t="shared" si="10"/>
        <v>4.3049999999999997</v>
      </c>
      <c r="J47" s="49">
        <f>I47+0.401*1.025</f>
        <v>4.7160250000000001</v>
      </c>
      <c r="K47" s="126"/>
      <c r="L47" s="128"/>
      <c r="O47" s="84"/>
      <c r="P47" s="84"/>
      <c r="Q47" s="84"/>
      <c r="R47" s="116"/>
      <c r="S47" s="84"/>
      <c r="T47" s="84"/>
      <c r="U47" s="84"/>
      <c r="V47" s="84"/>
      <c r="W47" s="74"/>
      <c r="X47" s="49"/>
      <c r="Y47" s="113"/>
    </row>
    <row r="48" spans="1:26" ht="17.25" customHeight="1">
      <c r="A48" s="49"/>
      <c r="B48" s="52"/>
      <c r="H48" s="119"/>
      <c r="I48" s="120"/>
      <c r="J48" s="119"/>
      <c r="K48" s="129"/>
      <c r="L48" s="141"/>
      <c r="M48" s="118"/>
      <c r="N48" s="118"/>
      <c r="O48" s="118"/>
      <c r="P48" s="118"/>
      <c r="Q48" s="118"/>
      <c r="R48" s="122"/>
      <c r="S48" s="118"/>
      <c r="T48" s="118"/>
      <c r="U48" s="118"/>
      <c r="V48" s="118"/>
      <c r="W48" s="123"/>
      <c r="X48" s="121"/>
      <c r="Y48" s="121"/>
    </row>
    <row r="49" spans="1:25" ht="17.25" customHeight="1">
      <c r="H49" s="49"/>
      <c r="I49" s="49"/>
      <c r="J49" s="49"/>
      <c r="K49" s="130"/>
      <c r="L49" s="141"/>
      <c r="O49" s="84"/>
      <c r="P49" s="84"/>
      <c r="Q49" s="84"/>
      <c r="R49" s="116"/>
      <c r="S49" s="84"/>
      <c r="T49" s="84"/>
      <c r="U49" s="84"/>
      <c r="V49" s="84"/>
      <c r="W49" s="74"/>
      <c r="X49" s="49"/>
      <c r="Y49" s="113"/>
    </row>
    <row r="50" spans="1:25">
      <c r="A50" s="50"/>
      <c r="B50" s="52"/>
      <c r="L50" s="141"/>
    </row>
    <row r="51" spans="1:25">
      <c r="A51" s="50"/>
      <c r="B51" s="46"/>
      <c r="C51" s="46"/>
      <c r="L51" s="141"/>
    </row>
    <row r="52" spans="1:25">
      <c r="A52" s="50"/>
      <c r="B52" s="46"/>
      <c r="C52" s="46"/>
      <c r="L52" s="141"/>
    </row>
    <row r="53" spans="1:25">
      <c r="A53" s="50"/>
      <c r="B53" s="46"/>
      <c r="C53" s="46"/>
      <c r="L53" s="141"/>
    </row>
    <row r="54" spans="1:25">
      <c r="A54" s="50"/>
      <c r="B54" s="46"/>
      <c r="C54" s="46"/>
      <c r="L54" s="141"/>
    </row>
    <row r="55" spans="1:25">
      <c r="A55" s="50"/>
      <c r="B55" s="46"/>
      <c r="C55" s="46"/>
    </row>
    <row r="56" spans="1:25">
      <c r="A56" s="43"/>
      <c r="B56" s="46"/>
      <c r="C56" s="46"/>
    </row>
    <row r="57" spans="1:25">
      <c r="A57" s="41"/>
      <c r="B57" s="44"/>
      <c r="C57" s="44"/>
      <c r="D57" s="41"/>
      <c r="E57" s="41"/>
      <c r="F57" s="41"/>
      <c r="G57" s="41"/>
      <c r="H57" s="41"/>
      <c r="I57" s="41"/>
      <c r="J57" s="41"/>
      <c r="K57" s="41"/>
      <c r="L57" s="41"/>
      <c r="M57" s="85"/>
    </row>
    <row r="58" spans="1:25">
      <c r="A58" s="44"/>
    </row>
    <row r="59" spans="1:25">
      <c r="A59" s="46"/>
      <c r="B59" s="44"/>
      <c r="C59" s="44"/>
      <c r="D59" s="44"/>
      <c r="E59" s="44"/>
      <c r="F59" s="44"/>
      <c r="G59" s="45"/>
      <c r="H59" s="45"/>
      <c r="I59" s="45"/>
      <c r="J59" s="45"/>
      <c r="K59" s="45"/>
      <c r="L59" s="45"/>
      <c r="M59" s="86"/>
      <c r="N59" s="86"/>
      <c r="O59" s="86"/>
    </row>
    <row r="60" spans="1:2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2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2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2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2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6"/>
      <c r="B68" s="46"/>
      <c r="C68" s="46"/>
      <c r="F68" s="46"/>
      <c r="G68" s="46"/>
      <c r="H68" s="46"/>
      <c r="I68" s="46"/>
      <c r="J68" s="46"/>
      <c r="K68" s="46"/>
      <c r="L68" s="46"/>
    </row>
    <row r="69" spans="1:15">
      <c r="A69" s="46"/>
      <c r="B69" s="46"/>
      <c r="C69" s="46"/>
      <c r="F69" s="46"/>
      <c r="G69" s="46"/>
      <c r="H69" s="46"/>
      <c r="I69" s="46"/>
      <c r="J69" s="46"/>
      <c r="K69" s="46"/>
      <c r="L69" s="46"/>
    </row>
    <row r="70" spans="1:15">
      <c r="A70" s="41"/>
      <c r="B70" s="46"/>
      <c r="C70" s="46"/>
      <c r="D70" s="48"/>
      <c r="F70" s="46"/>
      <c r="G70" s="46"/>
      <c r="H70" s="46"/>
      <c r="I70" s="46"/>
      <c r="J70" s="46"/>
      <c r="K70" s="46"/>
      <c r="L70" s="46"/>
    </row>
    <row r="71" spans="1:15">
      <c r="A71" s="41"/>
      <c r="B71" s="41"/>
      <c r="C71" s="46"/>
      <c r="E71" s="41"/>
      <c r="F71" s="41"/>
      <c r="G71" s="46"/>
      <c r="H71" s="46"/>
      <c r="I71" s="46"/>
      <c r="J71" s="46"/>
      <c r="K71" s="46"/>
      <c r="L71" s="46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85"/>
      <c r="O72" s="9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85"/>
      <c r="O73" s="9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85"/>
      <c r="O74" s="9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85"/>
      <c r="O75" s="9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85"/>
      <c r="O76" s="9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85"/>
      <c r="O77" s="9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85"/>
      <c r="O78" s="91"/>
    </row>
    <row r="79" spans="1:15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85"/>
      <c r="O79" s="91"/>
    </row>
    <row r="80" spans="1:15">
      <c r="A80" s="41"/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85"/>
      <c r="O80" s="91"/>
    </row>
    <row r="81" spans="1:15">
      <c r="B81" s="41"/>
      <c r="C81" s="41"/>
      <c r="D81" s="41"/>
      <c r="E81" s="41"/>
      <c r="F81" s="41"/>
      <c r="G81" s="41"/>
      <c r="H81" s="41"/>
      <c r="I81" s="41"/>
      <c r="J81" s="54"/>
      <c r="K81" s="54"/>
      <c r="L81" s="54"/>
      <c r="M81" s="85"/>
      <c r="O81" s="91"/>
    </row>
    <row r="82" spans="1:15">
      <c r="A82" s="41"/>
      <c r="B82" s="52"/>
    </row>
    <row r="83" spans="1:15">
      <c r="A83" s="41"/>
    </row>
    <row r="84" spans="1:15">
      <c r="A84" s="51"/>
    </row>
    <row r="85" spans="1:15">
      <c r="A85" s="51"/>
      <c r="B85" s="329"/>
      <c r="C85" s="329"/>
      <c r="D85" s="329"/>
      <c r="E85" s="329"/>
      <c r="F85" s="329"/>
      <c r="G85" s="329"/>
      <c r="H85" s="329"/>
      <c r="I85" s="329"/>
      <c r="J85" s="329"/>
      <c r="K85" s="329"/>
      <c r="L85" s="329"/>
      <c r="M85" s="329"/>
    </row>
    <row r="86" spans="1:15">
      <c r="A86" s="51"/>
      <c r="B86" s="329"/>
      <c r="C86" s="329"/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92"/>
    </row>
    <row r="87" spans="1:15">
      <c r="A87" s="51"/>
      <c r="B87" s="52"/>
      <c r="N87" s="92"/>
    </row>
    <row r="88" spans="1:15">
      <c r="A88" s="51"/>
      <c r="B88" s="52"/>
      <c r="N88" s="92"/>
    </row>
    <row r="89" spans="1:15">
      <c r="A89" s="51"/>
      <c r="B89" s="52"/>
      <c r="N89" s="92"/>
    </row>
    <row r="90" spans="1:15">
      <c r="A90" s="51"/>
      <c r="B90" s="52"/>
      <c r="N90" s="92"/>
    </row>
    <row r="91" spans="1:15">
      <c r="A91" s="51"/>
      <c r="B91" s="52"/>
      <c r="N91" s="92"/>
    </row>
    <row r="92" spans="1:15">
      <c r="A92" s="51"/>
      <c r="B92" s="52"/>
      <c r="N92" s="92"/>
    </row>
    <row r="93" spans="1:15">
      <c r="A93" s="51"/>
      <c r="B93" s="52"/>
      <c r="N93" s="92"/>
    </row>
    <row r="94" spans="1:15">
      <c r="A94" s="51"/>
      <c r="B94" s="52"/>
      <c r="N94" s="92"/>
    </row>
    <row r="95" spans="1:15">
      <c r="A95" s="51"/>
      <c r="B95" s="52"/>
      <c r="N95" s="92"/>
    </row>
    <row r="96" spans="1:15">
      <c r="A96" s="51"/>
      <c r="B96" s="52"/>
      <c r="N96" s="92"/>
    </row>
    <row r="97" spans="1:14">
      <c r="A97" s="51"/>
      <c r="B97" s="52"/>
      <c r="N97" s="92"/>
    </row>
    <row r="98" spans="1:14">
      <c r="A98" s="51"/>
      <c r="B98" s="52"/>
      <c r="N98" s="92"/>
    </row>
    <row r="99" spans="1:14">
      <c r="A99" s="51"/>
      <c r="B99" s="52"/>
      <c r="N99" s="92"/>
    </row>
    <row r="100" spans="1:14">
      <c r="B100" s="52"/>
      <c r="N100" s="92"/>
    </row>
    <row r="101" spans="1:14">
      <c r="B101" s="52"/>
      <c r="N101" s="92"/>
    </row>
    <row r="102" spans="1:14">
      <c r="B102" s="52"/>
    </row>
    <row r="103" spans="1:14">
      <c r="B103" s="52"/>
    </row>
  </sheetData>
  <mergeCells count="2">
    <mergeCell ref="B85:M85"/>
    <mergeCell ref="B86:M86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6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7BD5-4234-4F1E-95D3-2E865212609E}">
  <sheetPr codeName="Sheet19"/>
  <dimension ref="A1:V5"/>
  <sheetViews>
    <sheetView workbookViewId="0">
      <selection activeCell="O13" sqref="O13"/>
    </sheetView>
  </sheetViews>
  <sheetFormatPr defaultColWidth="10.28515625" defaultRowHeight="15"/>
  <cols>
    <col min="1" max="1" width="7" style="131" bestFit="1" customWidth="1"/>
    <col min="2" max="2" width="24.85546875" style="131" bestFit="1" customWidth="1"/>
    <col min="3" max="3" width="9.5703125" style="131" bestFit="1" customWidth="1"/>
    <col min="4" max="4" width="26.28515625" style="131" bestFit="1" customWidth="1"/>
    <col min="5" max="5" width="8.7109375" style="131" customWidth="1"/>
    <col min="6" max="6" width="14.42578125" style="132" bestFit="1" customWidth="1"/>
    <col min="7" max="7" width="21.42578125" style="167" bestFit="1" customWidth="1"/>
    <col min="8" max="8" width="13.42578125" style="132" bestFit="1" customWidth="1"/>
    <col min="9" max="9" width="20.28515625" style="167" hidden="1" customWidth="1"/>
    <col min="10" max="10" width="17.42578125" style="131" hidden="1" customWidth="1"/>
    <col min="11" max="11" width="10.28515625" style="175" hidden="1" customWidth="1"/>
    <col min="12" max="12" width="12" style="167" bestFit="1" customWidth="1"/>
    <col min="13" max="13" width="5.140625" style="133" bestFit="1" customWidth="1"/>
    <col min="14" max="14" width="9.85546875" style="134" bestFit="1" customWidth="1"/>
    <col min="15" max="15" width="10.140625" style="131" bestFit="1" customWidth="1"/>
    <col min="16" max="16" width="11.85546875" style="133" bestFit="1" customWidth="1"/>
    <col min="17" max="17" width="10" style="133" bestFit="1" customWidth="1"/>
    <col min="18" max="18" width="10" style="131" bestFit="1" customWidth="1"/>
    <col min="19" max="19" width="4.5703125" style="131" bestFit="1" customWidth="1"/>
    <col min="20" max="20" width="10.7109375" style="134" bestFit="1" customWidth="1"/>
    <col min="21" max="21" width="12.5703125" style="133" bestFit="1" customWidth="1"/>
    <col min="22" max="22" width="8.7109375" style="131" customWidth="1"/>
    <col min="23" max="16384" width="10.28515625" style="131"/>
  </cols>
  <sheetData>
    <row r="1" spans="1:22" ht="16.5" thickTop="1" thickBot="1">
      <c r="A1" s="139" t="s">
        <v>239</v>
      </c>
      <c r="B1" s="139" t="s">
        <v>240</v>
      </c>
      <c r="C1" s="139" t="s">
        <v>137</v>
      </c>
      <c r="D1" s="139" t="s">
        <v>241</v>
      </c>
      <c r="E1" s="139" t="s">
        <v>242</v>
      </c>
      <c r="F1" s="139" t="s">
        <v>243</v>
      </c>
      <c r="G1" s="139" t="s">
        <v>244</v>
      </c>
      <c r="H1" s="139" t="s">
        <v>245</v>
      </c>
      <c r="I1" s="139" t="s">
        <v>246</v>
      </c>
      <c r="J1" s="139" t="s">
        <v>247</v>
      </c>
      <c r="K1" s="173" t="s">
        <v>248</v>
      </c>
      <c r="L1" s="139" t="s">
        <v>249</v>
      </c>
      <c r="M1" s="139" t="s">
        <v>250</v>
      </c>
      <c r="N1" s="139" t="s">
        <v>251</v>
      </c>
      <c r="O1" s="139" t="s">
        <v>252</v>
      </c>
      <c r="P1" s="139" t="s">
        <v>253</v>
      </c>
      <c r="Q1" s="139" t="s">
        <v>254</v>
      </c>
      <c r="R1" s="139" t="s">
        <v>255</v>
      </c>
      <c r="S1" s="139" t="s">
        <v>256</v>
      </c>
      <c r="T1" s="139" t="s">
        <v>257</v>
      </c>
      <c r="U1" s="139" t="s">
        <v>258</v>
      </c>
      <c r="V1" s="139" t="s">
        <v>242</v>
      </c>
    </row>
    <row r="2" spans="1:22" s="168" customFormat="1" ht="15.75" thickTop="1">
      <c r="A2" s="168" t="s">
        <v>264</v>
      </c>
      <c r="B2" s="168" t="s">
        <v>265</v>
      </c>
      <c r="C2" s="168" t="s">
        <v>39</v>
      </c>
      <c r="D2" s="168" t="s">
        <v>259</v>
      </c>
      <c r="E2" s="168" t="s">
        <v>145</v>
      </c>
      <c r="F2" s="169">
        <v>43.716000000000001</v>
      </c>
      <c r="G2" s="170">
        <v>90929.279999999999</v>
      </c>
      <c r="H2" s="169">
        <v>4.3879999999999999</v>
      </c>
      <c r="I2" s="170">
        <v>9127.0400000000009</v>
      </c>
      <c r="J2" s="168" t="s">
        <v>260</v>
      </c>
      <c r="K2" s="174" t="s">
        <v>261</v>
      </c>
      <c r="L2" s="170">
        <v>40</v>
      </c>
      <c r="M2" s="171">
        <v>1</v>
      </c>
      <c r="N2" s="172">
        <v>43831</v>
      </c>
      <c r="O2" s="168" t="s">
        <v>262</v>
      </c>
      <c r="P2" s="171">
        <v>9</v>
      </c>
      <c r="Q2" s="171">
        <v>440</v>
      </c>
      <c r="R2" s="168" t="s">
        <v>14</v>
      </c>
      <c r="S2" s="168" t="s">
        <v>266</v>
      </c>
      <c r="T2" s="172">
        <v>36373</v>
      </c>
      <c r="U2" s="171">
        <v>0</v>
      </c>
      <c r="V2" s="168" t="s">
        <v>145</v>
      </c>
    </row>
    <row r="3" spans="1:22" s="168" customFormat="1">
      <c r="A3" s="168" t="s">
        <v>267</v>
      </c>
      <c r="B3" s="168" t="s">
        <v>268</v>
      </c>
      <c r="C3" s="168" t="s">
        <v>39</v>
      </c>
      <c r="D3" s="168" t="s">
        <v>259</v>
      </c>
      <c r="E3" s="168" t="s">
        <v>145</v>
      </c>
      <c r="F3" s="169">
        <v>48.773000000000003</v>
      </c>
      <c r="G3" s="170">
        <v>101447.84</v>
      </c>
      <c r="H3" s="169">
        <v>4.3879999999999999</v>
      </c>
      <c r="I3" s="170">
        <v>9127.0400000000009</v>
      </c>
      <c r="J3" s="168" t="s">
        <v>260</v>
      </c>
      <c r="K3" s="174" t="s">
        <v>261</v>
      </c>
      <c r="L3" s="170">
        <v>40</v>
      </c>
      <c r="M3" s="171">
        <v>5</v>
      </c>
      <c r="N3" s="172">
        <v>43831</v>
      </c>
      <c r="O3" s="168" t="s">
        <v>262</v>
      </c>
      <c r="P3" s="171">
        <v>9</v>
      </c>
      <c r="Q3" s="171">
        <v>440</v>
      </c>
      <c r="R3" s="168" t="s">
        <v>14</v>
      </c>
      <c r="S3" s="168" t="s">
        <v>266</v>
      </c>
      <c r="T3" s="172">
        <v>36265</v>
      </c>
      <c r="U3" s="171">
        <v>0</v>
      </c>
      <c r="V3" s="168" t="s">
        <v>145</v>
      </c>
    </row>
    <row r="4" spans="1:22" s="168" customFormat="1">
      <c r="A4" s="168" t="s">
        <v>269</v>
      </c>
      <c r="B4" s="168" t="s">
        <v>270</v>
      </c>
      <c r="C4" s="168" t="s">
        <v>39</v>
      </c>
      <c r="D4" s="168" t="s">
        <v>259</v>
      </c>
      <c r="E4" s="168" t="s">
        <v>145</v>
      </c>
      <c r="F4" s="169">
        <v>45.213000000000001</v>
      </c>
      <c r="G4" s="170">
        <v>94043.04</v>
      </c>
      <c r="H4" s="169">
        <v>4.3879999999999999</v>
      </c>
      <c r="I4" s="170">
        <v>9127.0400000000009</v>
      </c>
      <c r="J4" s="168" t="s">
        <v>260</v>
      </c>
      <c r="K4" s="174" t="s">
        <v>261</v>
      </c>
      <c r="L4" s="170">
        <v>40</v>
      </c>
      <c r="M4" s="171">
        <v>3</v>
      </c>
      <c r="N4" s="172">
        <v>43598</v>
      </c>
      <c r="O4" s="168" t="s">
        <v>262</v>
      </c>
      <c r="P4" s="171">
        <v>9</v>
      </c>
      <c r="Q4" s="171">
        <v>440</v>
      </c>
      <c r="R4" s="168" t="s">
        <v>14</v>
      </c>
      <c r="S4" s="168" t="s">
        <v>266</v>
      </c>
      <c r="T4" s="172">
        <v>36265</v>
      </c>
      <c r="U4" s="171">
        <v>0</v>
      </c>
      <c r="V4" s="168" t="s">
        <v>145</v>
      </c>
    </row>
    <row r="5" spans="1:22" s="168" customFormat="1">
      <c r="A5" s="168" t="s">
        <v>271</v>
      </c>
      <c r="B5" s="168" t="s">
        <v>272</v>
      </c>
      <c r="C5" s="168" t="s">
        <v>39</v>
      </c>
      <c r="D5" s="168" t="s">
        <v>259</v>
      </c>
      <c r="E5" s="168" t="s">
        <v>145</v>
      </c>
      <c r="F5" s="169">
        <v>48.773000000000003</v>
      </c>
      <c r="G5" s="170">
        <v>101447.84</v>
      </c>
      <c r="H5" s="169">
        <v>4.3879999999999999</v>
      </c>
      <c r="I5" s="170">
        <v>9127.0400000000009</v>
      </c>
      <c r="J5" s="168" t="s">
        <v>260</v>
      </c>
      <c r="K5" s="174" t="s">
        <v>261</v>
      </c>
      <c r="L5" s="170">
        <v>40</v>
      </c>
      <c r="M5" s="171">
        <v>5</v>
      </c>
      <c r="N5" s="172">
        <v>39540</v>
      </c>
      <c r="O5" s="168" t="s">
        <v>262</v>
      </c>
      <c r="P5" s="171">
        <v>9</v>
      </c>
      <c r="Q5" s="171">
        <v>440</v>
      </c>
      <c r="R5" s="168" t="s">
        <v>14</v>
      </c>
      <c r="S5" s="168" t="s">
        <v>263</v>
      </c>
      <c r="T5" s="172">
        <v>36081</v>
      </c>
      <c r="U5" s="171">
        <v>0</v>
      </c>
      <c r="V5" s="168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106"/>
  <sheetViews>
    <sheetView workbookViewId="0">
      <selection activeCell="H11" sqref="H11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14062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8.42578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7" width="9.140625" style="2"/>
    <col min="18" max="18" width="0.42578125" style="2" customWidth="1"/>
    <col min="19" max="16384" width="9.140625" style="2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</row>
    <row r="2" spans="1:18">
      <c r="A2" s="1"/>
      <c r="B2" s="1"/>
      <c r="C2" s="1"/>
      <c r="D2" s="1"/>
      <c r="E2" s="1"/>
      <c r="F2" s="1"/>
      <c r="G2" s="1"/>
      <c r="H2" s="1"/>
    </row>
    <row r="3" spans="1:18">
      <c r="A3" s="3" t="s">
        <v>73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32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/>
      <c r="R5" s="2">
        <f>924/26</f>
        <v>35.53846153846154</v>
      </c>
    </row>
    <row r="6" spans="1:18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3" t="s">
        <v>18</v>
      </c>
      <c r="H6" s="6">
        <f>'Sept 9, 2007'!H6+37</f>
        <v>1678.82</v>
      </c>
      <c r="I6" s="6">
        <f>'Sept 9, 2007'!I6+37</f>
        <v>1792.1200000000001</v>
      </c>
      <c r="J6" s="6">
        <f>'Sept 9, 2007'!J6+37</f>
        <v>1914.69</v>
      </c>
      <c r="K6" s="6">
        <f>'Sept 9, 2007'!K6+37</f>
        <v>2045.5</v>
      </c>
      <c r="L6" s="6">
        <f>'Sept 9, 2007'!L6+37</f>
        <v>2184.5500000000002</v>
      </c>
      <c r="M6" s="6">
        <f>'Sept 9, 2007'!M6+37</f>
        <v>2316.922927562</v>
      </c>
    </row>
    <row r="7" spans="1:18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3" t="s">
        <v>18</v>
      </c>
      <c r="H7" s="6">
        <f>'Sept 9, 2007'!H7+37</f>
        <v>1678.82</v>
      </c>
      <c r="I7" s="6">
        <f>'Sept 9, 2007'!I7+37</f>
        <v>1792.1200000000001</v>
      </c>
      <c r="J7" s="6">
        <f>'Sept 9, 2007'!J7+37</f>
        <v>1914.69</v>
      </c>
      <c r="K7" s="6">
        <f>'Sept 9, 2007'!K7+37</f>
        <v>2045.5</v>
      </c>
      <c r="L7" s="6">
        <f>'Sept 9, 2007'!L7+37</f>
        <v>2184.5500000000002</v>
      </c>
      <c r="M7" s="6">
        <f>'Sept 9, 2007'!M7+37</f>
        <v>2316.922927562</v>
      </c>
    </row>
    <row r="8" spans="1:18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3" t="s">
        <v>18</v>
      </c>
      <c r="H8" s="6">
        <f>'Sept 9, 2007'!H8+37</f>
        <v>1678.82</v>
      </c>
      <c r="I8" s="6">
        <f>'Sept 9, 2007'!I8+37</f>
        <v>1792.1200000000001</v>
      </c>
      <c r="J8" s="6">
        <f>'Sept 9, 2007'!J8+37</f>
        <v>1914.69</v>
      </c>
      <c r="K8" s="6">
        <f>'Sept 9, 2007'!K8+37</f>
        <v>2045.5</v>
      </c>
      <c r="L8" s="6">
        <f>'Sept 9, 2007'!L8+37</f>
        <v>2184.5500000000002</v>
      </c>
      <c r="M8" s="6">
        <f>'Sept 9, 2007'!M8+37</f>
        <v>2316.922927562</v>
      </c>
    </row>
    <row r="9" spans="1:18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3" t="s">
        <v>18</v>
      </c>
      <c r="H9" s="6">
        <f>'Sept 9, 2007'!H9+37</f>
        <v>2360.6799999999998</v>
      </c>
      <c r="I9" s="6">
        <f>'Sept 9, 2007'!I9+37</f>
        <v>2453.38</v>
      </c>
      <c r="J9" s="6">
        <f>'Sept 9, 2007'!J9+37</f>
        <v>2602.4400779174998</v>
      </c>
      <c r="K9" s="6"/>
      <c r="L9" s="6"/>
      <c r="M9" s="6"/>
    </row>
    <row r="10" spans="1:18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3" t="s">
        <v>18</v>
      </c>
      <c r="H10" s="6">
        <f>'Sept 9, 2007'!H10+37</f>
        <v>2360.6799999999998</v>
      </c>
      <c r="I10" s="6">
        <f>'Sept 9, 2007'!I10+37</f>
        <v>2453.38</v>
      </c>
      <c r="J10" s="6">
        <f>'Sept 9, 2007'!J10+37</f>
        <v>2602.4400779174998</v>
      </c>
      <c r="K10" s="6"/>
      <c r="L10" s="6"/>
      <c r="M10" s="6"/>
    </row>
    <row r="11" spans="1:18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3" t="s">
        <v>18</v>
      </c>
      <c r="H11" s="6">
        <f>'Sept 9, 2007'!H11+37</f>
        <v>2360.6799999999998</v>
      </c>
      <c r="I11" s="6">
        <f>'Sept 9, 2007'!I11+37</f>
        <v>2453.38</v>
      </c>
      <c r="J11" s="6">
        <f>'Sept 9, 2007'!J11+37</f>
        <v>2602.4400779174998</v>
      </c>
      <c r="K11" s="6"/>
      <c r="L11" s="6"/>
      <c r="M11" s="6"/>
    </row>
    <row r="12" spans="1:18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3" t="s">
        <v>18</v>
      </c>
      <c r="H12" s="6">
        <f>'Sept 9, 2007'!H12+37</f>
        <v>2675.86</v>
      </c>
      <c r="I12" s="6">
        <f>'Sept 9, 2007'!I12+37</f>
        <v>2781.9500000000003</v>
      </c>
      <c r="J12" s="6">
        <f>'Sept 9, 2007'!J12+37</f>
        <v>2952.2249263234999</v>
      </c>
      <c r="K12" s="6"/>
      <c r="L12" s="6"/>
      <c r="M12" s="6"/>
    </row>
    <row r="13" spans="1:18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3" t="s">
        <v>18</v>
      </c>
      <c r="H13" s="6">
        <f>'Sept 9, 2007'!H13+37</f>
        <v>2675.86</v>
      </c>
      <c r="I13" s="6">
        <f>'Sept 9, 2007'!I13+37</f>
        <v>2781.9500000000003</v>
      </c>
      <c r="J13" s="6">
        <f>'Sept 9, 2007'!J13+37</f>
        <v>2952.2249263234999</v>
      </c>
      <c r="K13" s="6"/>
      <c r="L13" s="6"/>
      <c r="M13" s="6"/>
    </row>
    <row r="14" spans="1:18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3" t="s">
        <v>18</v>
      </c>
      <c r="H14" s="6">
        <f>'Sept 9, 2007'!H14+37</f>
        <v>2675.86</v>
      </c>
      <c r="I14" s="6">
        <f>'Sept 9, 2007'!I14+37</f>
        <v>2781.9500000000003</v>
      </c>
      <c r="J14" s="6">
        <f>'Sept 9, 2007'!J14+37</f>
        <v>2952.2249263234999</v>
      </c>
      <c r="K14" s="6"/>
      <c r="L14" s="6"/>
      <c r="M14" s="6"/>
    </row>
    <row r="15" spans="1:18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3" t="s">
        <v>18</v>
      </c>
      <c r="H15" s="6">
        <f>'Sept 9, 2007'!H15+37</f>
        <v>2675.86</v>
      </c>
      <c r="I15" s="6">
        <f>'Sept 9, 2007'!I15+37</f>
        <v>2781.9500000000003</v>
      </c>
      <c r="J15" s="6">
        <f>'Sept 9, 2007'!J15+37</f>
        <v>2952.2249263234999</v>
      </c>
      <c r="K15" s="6"/>
      <c r="L15" s="6"/>
      <c r="M15" s="6"/>
    </row>
    <row r="16" spans="1:18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3" t="s">
        <v>18</v>
      </c>
      <c r="H16" s="6">
        <f>'Sept 9, 2007'!H16+37</f>
        <v>2675.86</v>
      </c>
      <c r="I16" s="6">
        <f>'Sept 9, 2007'!I16+37</f>
        <v>2781.9500000000003</v>
      </c>
      <c r="J16" s="6">
        <f>'Sept 9, 2007'!J16+37</f>
        <v>2952.2249263234999</v>
      </c>
      <c r="K16" s="6"/>
      <c r="L16" s="6"/>
      <c r="M16" s="6"/>
    </row>
    <row r="17" spans="1:18" ht="42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3" t="s">
        <v>18</v>
      </c>
      <c r="H17" s="6">
        <f>'Sept 9, 2007'!H17+37</f>
        <v>2693.37</v>
      </c>
      <c r="I17" s="6">
        <f>'Sept 9, 2007'!I17+37</f>
        <v>2738.69</v>
      </c>
      <c r="J17" s="6">
        <f>'Sept 9, 2007'!J17+37</f>
        <v>2785.04</v>
      </c>
      <c r="K17" s="6">
        <f>'Sept 9, 2007'!K17+37</f>
        <v>2832.42</v>
      </c>
      <c r="L17" s="6">
        <f>'Sept 9, 2007'!L17+37</f>
        <v>2879.8</v>
      </c>
      <c r="M17" s="6">
        <f>'Sept 9, 2007'!M17+37</f>
        <v>3055.4746707324994</v>
      </c>
    </row>
    <row r="18" spans="1:18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3" t="s">
        <v>18</v>
      </c>
      <c r="H18" s="6">
        <f>'Sept 9, 2007'!H18+37</f>
        <v>2693.37</v>
      </c>
      <c r="I18" s="6">
        <f>'Sept 9, 2007'!I18+37</f>
        <v>2738.69</v>
      </c>
      <c r="J18" s="6">
        <f>'Sept 9, 2007'!J18+37</f>
        <v>2785.04</v>
      </c>
      <c r="K18" s="6">
        <f>'Sept 9, 2007'!K18+37</f>
        <v>2832.42</v>
      </c>
      <c r="L18" s="6">
        <f>'Sept 9, 2007'!L18+37</f>
        <v>2879.8</v>
      </c>
      <c r="M18" s="6">
        <f>'Sept 9, 2007'!M18+37</f>
        <v>3055.4746707324994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v>0.74803386255499993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/>
    </row>
    <row r="22" spans="1:18">
      <c r="A22" s="10"/>
      <c r="B22" s="10"/>
      <c r="C22" s="14">
        <v>0.32660633435499997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/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v>12.895682362919999</v>
      </c>
      <c r="B33" s="327" t="s">
        <v>54</v>
      </c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R33" s="25"/>
    </row>
    <row r="34" spans="1:18">
      <c r="A34" s="14">
        <v>18.289954723880001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v>23.68422708484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v>29.078499445799999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v>34.472771806760001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v>104.18742065924499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v>110.04526330122501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v>115.89257025500001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v>151.58748189354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v>157.43478884731499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v>163.29263148929499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v>169.15047413127502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v>185.75471874235498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v>233.37602942895498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v>239.23387207093498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v>245.09171471291498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v>250.94955735489501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v>256.80739999687501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v>280.55484121094503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>
      <c r="A60" s="1"/>
    </row>
    <row r="61" spans="1:18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>
      <c r="A85" s="1"/>
    </row>
    <row r="86" spans="1:15">
      <c r="A86" s="22"/>
      <c r="B86" s="23"/>
    </row>
    <row r="87" spans="1:15">
      <c r="A87" s="25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</row>
    <row r="88" spans="1:15">
      <c r="A88" s="25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sheetProtection password="E3B7" sheet="1" objects="1" scenarios="1"/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/>
  <dimension ref="A1:AK119"/>
  <sheetViews>
    <sheetView topLeftCell="A20" workbookViewId="0">
      <selection activeCell="J41" sqref="J41"/>
    </sheetView>
  </sheetViews>
  <sheetFormatPr defaultColWidth="9.140625" defaultRowHeight="15"/>
  <cols>
    <col min="1" max="1" width="9.140625" style="42"/>
    <col min="2" max="2" width="10.42578125" style="42" customWidth="1"/>
    <col min="3" max="3" width="7.5703125" style="42" customWidth="1"/>
    <col min="4" max="4" width="8.140625" style="42" customWidth="1"/>
    <col min="5" max="5" width="31.42578125" style="42" customWidth="1"/>
    <col min="6" max="6" width="17.42578125" style="42" hidden="1" customWidth="1"/>
    <col min="7" max="7" width="4.140625" style="42" customWidth="1"/>
    <col min="8" max="8" width="10" style="42" bestFit="1" customWidth="1"/>
    <col min="9" max="9" width="9" style="42" bestFit="1" customWidth="1"/>
    <col min="10" max="10" width="10.5703125" style="42" bestFit="1" customWidth="1"/>
    <col min="11" max="11" width="9" style="42" bestFit="1" customWidth="1"/>
    <col min="12" max="12" width="8.140625" style="42" customWidth="1"/>
    <col min="13" max="13" width="8" style="42" bestFit="1" customWidth="1"/>
    <col min="14" max="14" width="14.42578125" style="84" bestFit="1" customWidth="1"/>
    <col min="15" max="15" width="4.85546875" style="42" customWidth="1"/>
    <col min="16" max="16384" width="9.140625" style="42"/>
  </cols>
  <sheetData>
    <row r="1" spans="1:37" ht="18.75">
      <c r="B1" s="58" t="s">
        <v>140</v>
      </c>
      <c r="C1" s="59"/>
      <c r="D1" s="59"/>
      <c r="E1" s="59"/>
      <c r="F1" s="59"/>
      <c r="G1" s="59"/>
      <c r="H1" s="59"/>
      <c r="I1" s="59"/>
      <c r="J1" s="60"/>
      <c r="K1" s="60"/>
      <c r="L1" s="60"/>
      <c r="M1" s="80"/>
    </row>
    <row r="2" spans="1:37" ht="26.25">
      <c r="B2" s="108" t="s">
        <v>183</v>
      </c>
      <c r="C2" s="61"/>
      <c r="D2" s="61"/>
      <c r="E2" s="59"/>
      <c r="F2" s="59"/>
      <c r="G2" s="59" t="s">
        <v>80</v>
      </c>
      <c r="H2" s="59"/>
      <c r="I2" s="59"/>
      <c r="J2" s="59"/>
      <c r="K2" s="59"/>
      <c r="L2" s="59"/>
      <c r="M2" s="81"/>
      <c r="N2" s="85"/>
    </row>
    <row r="3" spans="1:37" ht="30" customHeight="1">
      <c r="A3" s="48" t="s">
        <v>205</v>
      </c>
      <c r="B3" s="61" t="s">
        <v>137</v>
      </c>
      <c r="C3" s="63" t="s">
        <v>114</v>
      </c>
      <c r="D3" s="63" t="s">
        <v>138</v>
      </c>
      <c r="E3" s="61" t="s">
        <v>4</v>
      </c>
      <c r="F3" s="61" t="s">
        <v>5</v>
      </c>
      <c r="G3" s="61" t="s">
        <v>6</v>
      </c>
      <c r="H3" s="63" t="s">
        <v>7</v>
      </c>
      <c r="I3" s="63" t="s">
        <v>8</v>
      </c>
      <c r="J3" s="63" t="s">
        <v>9</v>
      </c>
      <c r="K3" s="63" t="s">
        <v>10</v>
      </c>
      <c r="L3" s="63" t="s">
        <v>11</v>
      </c>
      <c r="M3" s="82" t="s">
        <v>12</v>
      </c>
      <c r="N3" s="86"/>
      <c r="R3" s="330"/>
      <c r="S3" s="330"/>
      <c r="T3" s="330"/>
      <c r="U3" s="330"/>
      <c r="V3" s="330"/>
      <c r="W3" s="330"/>
      <c r="Y3" s="330"/>
      <c r="Z3" s="330"/>
      <c r="AA3" s="330"/>
      <c r="AB3" s="330"/>
      <c r="AC3" s="330"/>
      <c r="AD3" s="330"/>
      <c r="AF3" s="330"/>
      <c r="AG3" s="330"/>
      <c r="AH3" s="330"/>
      <c r="AI3" s="330"/>
      <c r="AJ3" s="330"/>
      <c r="AK3" s="330"/>
    </row>
    <row r="4" spans="1:37" ht="18.75" customHeight="1">
      <c r="B4" s="64" t="s">
        <v>157</v>
      </c>
      <c r="C4" s="64" t="s">
        <v>115</v>
      </c>
      <c r="D4" s="64" t="s">
        <v>156</v>
      </c>
      <c r="E4" s="60" t="s">
        <v>84</v>
      </c>
      <c r="F4" s="61"/>
      <c r="G4" s="64" t="s">
        <v>17</v>
      </c>
      <c r="H4" s="65">
        <f>'January 1, 2019'!G4*1.025</f>
        <v>1677.1395000436123</v>
      </c>
      <c r="I4" s="63"/>
      <c r="J4" s="63"/>
      <c r="K4" s="63"/>
      <c r="L4" s="63"/>
      <c r="M4" s="82"/>
      <c r="N4" s="86" t="s">
        <v>143</v>
      </c>
      <c r="Y4" s="111"/>
    </row>
    <row r="5" spans="1:37" ht="18.75" customHeight="1">
      <c r="A5" s="42" t="s">
        <v>206</v>
      </c>
      <c r="B5" s="64" t="s">
        <v>15</v>
      </c>
      <c r="C5" s="64" t="s">
        <v>115</v>
      </c>
      <c r="D5" s="64" t="s">
        <v>148</v>
      </c>
      <c r="E5" s="60" t="s">
        <v>16</v>
      </c>
      <c r="F5" s="60">
        <v>353</v>
      </c>
      <c r="G5" s="64" t="s">
        <v>17</v>
      </c>
      <c r="H5" s="65">
        <f>'January 1, 2019'!G5*1.025</f>
        <v>2395.9135714908748</v>
      </c>
      <c r="I5" s="65">
        <f>'January 1, 2019'!H5*1.025</f>
        <v>2491.7501143505092</v>
      </c>
      <c r="J5" s="65">
        <f>'January 1, 2019'!I5*1.025</f>
        <v>2591.42011892453</v>
      </c>
      <c r="K5" s="65">
        <f>'January 1, 2019'!J5*1.025</f>
        <v>2695.0769236815113</v>
      </c>
      <c r="L5" s="65">
        <f>'January 1, 2019'!K5*1.025</f>
        <v>2802.880000628772</v>
      </c>
      <c r="M5" s="65">
        <f>'January 1, 2019'!L5*1.025</f>
        <v>2914.9952006539233</v>
      </c>
      <c r="N5" s="84" t="s">
        <v>144</v>
      </c>
      <c r="Y5" s="111"/>
      <c r="Z5" s="111"/>
      <c r="AA5" s="111"/>
      <c r="AB5" s="111"/>
      <c r="AC5" s="111"/>
      <c r="AD5" s="111"/>
    </row>
    <row r="6" spans="1:37" ht="18.75" customHeight="1">
      <c r="A6" s="42" t="s">
        <v>207</v>
      </c>
      <c r="B6" s="64" t="s">
        <v>19</v>
      </c>
      <c r="C6" s="64" t="s">
        <v>115</v>
      </c>
      <c r="D6" s="64" t="s">
        <v>149</v>
      </c>
      <c r="E6" s="60" t="s">
        <v>20</v>
      </c>
      <c r="F6" s="60">
        <v>353</v>
      </c>
      <c r="G6" s="64" t="s">
        <v>17</v>
      </c>
      <c r="H6" s="65">
        <f>'January 1, 2019'!G6*1.025</f>
        <v>2395.9135714908748</v>
      </c>
      <c r="I6" s="65">
        <f>'January 1, 2019'!H6*1.025</f>
        <v>2491.7501143505092</v>
      </c>
      <c r="J6" s="65">
        <f>'January 1, 2019'!I6*1.025</f>
        <v>2591.42011892453</v>
      </c>
      <c r="K6" s="65">
        <f>'January 1, 2019'!J6*1.025</f>
        <v>2695.0769236815113</v>
      </c>
      <c r="L6" s="65">
        <f>'January 1, 2019'!K6*1.025</f>
        <v>2802.880000628772</v>
      </c>
      <c r="M6" s="65">
        <f>'January 1, 2019'!L6*1.025</f>
        <v>2914.9952006539233</v>
      </c>
      <c r="N6" s="84" t="s">
        <v>143</v>
      </c>
      <c r="Y6" s="111"/>
      <c r="Z6" s="111"/>
      <c r="AA6" s="111"/>
      <c r="AB6" s="111"/>
      <c r="AC6" s="111"/>
      <c r="AD6" s="111"/>
    </row>
    <row r="7" spans="1:37" ht="18.75" customHeight="1">
      <c r="B7" s="64" t="s">
        <v>21</v>
      </c>
      <c r="C7" s="64" t="s">
        <v>115</v>
      </c>
      <c r="D7" s="64" t="s">
        <v>148</v>
      </c>
      <c r="E7" s="60" t="s">
        <v>22</v>
      </c>
      <c r="F7" s="60"/>
      <c r="G7" s="64" t="s">
        <v>17</v>
      </c>
      <c r="H7" s="65">
        <f>'January 1, 2019'!G7*1.025</f>
        <v>2395.9135714908748</v>
      </c>
      <c r="I7" s="65">
        <f>'January 1, 2019'!H7*1.025</f>
        <v>2491.7501143505092</v>
      </c>
      <c r="J7" s="65">
        <f>'January 1, 2019'!I7*1.025</f>
        <v>2591.42011892453</v>
      </c>
      <c r="K7" s="65">
        <f>'January 1, 2019'!J7*1.025</f>
        <v>2695.0769236815113</v>
      </c>
      <c r="L7" s="65">
        <f>'January 1, 2019'!K7*1.025</f>
        <v>2802.880000628772</v>
      </c>
      <c r="M7" s="65">
        <f>'January 1, 2019'!L7*1.025</f>
        <v>2914.9952006539233</v>
      </c>
      <c r="N7" s="84" t="s">
        <v>144</v>
      </c>
      <c r="Y7" s="111"/>
      <c r="Z7" s="111"/>
      <c r="AA7" s="111"/>
      <c r="AB7" s="111"/>
      <c r="AC7" s="111"/>
      <c r="AD7" s="111"/>
    </row>
    <row r="8" spans="1:37" ht="18.75" customHeight="1">
      <c r="B8" s="64" t="s">
        <v>23</v>
      </c>
      <c r="C8" s="64" t="s">
        <v>115</v>
      </c>
      <c r="D8" s="64" t="s">
        <v>150</v>
      </c>
      <c r="E8" s="60" t="s">
        <v>24</v>
      </c>
      <c r="F8" s="60"/>
      <c r="G8" s="64" t="s">
        <v>17</v>
      </c>
      <c r="H8" s="65">
        <f>'January 1, 2019'!G8*1.025</f>
        <v>2970.0473798326461</v>
      </c>
      <c r="I8" s="65">
        <f>'January 1, 2019'!H8*1.025</f>
        <v>3086.676229194054</v>
      </c>
      <c r="J8" s="65">
        <f>'January 1, 2019'!I8*1.025</f>
        <v>3274.2135039862833</v>
      </c>
      <c r="K8" s="65"/>
      <c r="L8" s="65"/>
      <c r="M8" s="83"/>
      <c r="N8" s="84" t="s">
        <v>144</v>
      </c>
      <c r="Y8" s="111"/>
      <c r="Z8" s="111"/>
      <c r="AA8" s="111"/>
      <c r="AB8" s="111"/>
      <c r="AC8" s="111"/>
      <c r="AD8" s="111"/>
    </row>
    <row r="9" spans="1:37" ht="18.75" customHeight="1">
      <c r="B9" s="64" t="s">
        <v>195</v>
      </c>
      <c r="C9" s="64" t="s">
        <v>115</v>
      </c>
      <c r="D9" s="64" t="s">
        <v>151</v>
      </c>
      <c r="E9" s="60" t="s">
        <v>26</v>
      </c>
      <c r="F9" s="60"/>
      <c r="G9" s="64" t="s">
        <v>17</v>
      </c>
      <c r="H9" s="65">
        <f>'January 1, 2019'!G9*1.025</f>
        <v>2970.0473798326461</v>
      </c>
      <c r="I9" s="65">
        <f>'January 1, 2019'!H9*1.025</f>
        <v>3086.676229194054</v>
      </c>
      <c r="J9" s="65">
        <f>'January 1, 2019'!I9*1.025</f>
        <v>3274.2135039862833</v>
      </c>
      <c r="K9" s="65"/>
      <c r="L9" s="65"/>
      <c r="M9" s="83"/>
      <c r="N9" s="84" t="s">
        <v>143</v>
      </c>
      <c r="Y9" s="111"/>
      <c r="Z9" s="111"/>
      <c r="AA9" s="111"/>
      <c r="AB9" s="111"/>
      <c r="AC9" s="111"/>
      <c r="AD9" s="111"/>
    </row>
    <row r="10" spans="1:37" ht="18.75" customHeight="1">
      <c r="B10" s="64" t="s">
        <v>27</v>
      </c>
      <c r="C10" s="64" t="s">
        <v>115</v>
      </c>
      <c r="D10" s="64" t="s">
        <v>150</v>
      </c>
      <c r="E10" s="60" t="s">
        <v>28</v>
      </c>
      <c r="F10" s="60"/>
      <c r="G10" s="64" t="s">
        <v>17</v>
      </c>
      <c r="H10" s="65">
        <f>'January 1, 2019'!G10*1.025</f>
        <v>2970.0473798326461</v>
      </c>
      <c r="I10" s="65">
        <f>'January 1, 2019'!H10*1.025</f>
        <v>3086.676229194054</v>
      </c>
      <c r="J10" s="65">
        <f>'January 1, 2019'!I10*1.025</f>
        <v>3274.2135039862833</v>
      </c>
      <c r="K10" s="65"/>
      <c r="L10" s="65"/>
      <c r="M10" s="83"/>
      <c r="N10" s="84" t="s">
        <v>144</v>
      </c>
      <c r="Y10" s="111"/>
      <c r="Z10" s="111"/>
      <c r="AA10" s="111"/>
      <c r="AB10" s="111"/>
      <c r="AC10" s="111"/>
      <c r="AD10" s="111"/>
    </row>
    <row r="11" spans="1:37" ht="18.75" customHeight="1">
      <c r="B11" s="64" t="s">
        <v>29</v>
      </c>
      <c r="C11" s="64" t="s">
        <v>115</v>
      </c>
      <c r="D11" s="64" t="s">
        <v>152</v>
      </c>
      <c r="E11" s="60" t="s">
        <v>30</v>
      </c>
      <c r="F11" s="60"/>
      <c r="G11" s="64" t="s">
        <v>17</v>
      </c>
      <c r="H11" s="65">
        <f>'January 1, 2019'!G11*1.025</f>
        <v>3366.5854676614304</v>
      </c>
      <c r="I11" s="65">
        <f>'January 1, 2019'!H11*1.025</f>
        <v>3500.0607063750408</v>
      </c>
      <c r="J11" s="65">
        <f>'January 1, 2019'!I11*1.025</f>
        <v>3714.2890637882888</v>
      </c>
      <c r="K11" s="65"/>
      <c r="L11" s="65"/>
      <c r="M11" s="83"/>
      <c r="N11" s="84" t="s">
        <v>144</v>
      </c>
      <c r="Y11" s="111"/>
      <c r="Z11" s="111"/>
      <c r="AA11" s="111"/>
      <c r="AB11" s="111"/>
      <c r="AC11" s="111"/>
      <c r="AD11" s="111"/>
    </row>
    <row r="12" spans="1:37" ht="18.75" customHeight="1">
      <c r="B12" s="64" t="s">
        <v>31</v>
      </c>
      <c r="C12" s="64" t="s">
        <v>115</v>
      </c>
      <c r="D12" s="64" t="s">
        <v>153</v>
      </c>
      <c r="E12" s="60" t="s">
        <v>32</v>
      </c>
      <c r="F12" s="60"/>
      <c r="G12" s="64" t="s">
        <v>17</v>
      </c>
      <c r="H12" s="65">
        <f>'January 1, 2019'!G12*1.025</f>
        <v>3366.5854676614304</v>
      </c>
      <c r="I12" s="65">
        <f>'January 1, 2019'!H12*1.025</f>
        <v>3500.0607063750408</v>
      </c>
      <c r="J12" s="65">
        <f>'January 1, 2019'!I12*1.025</f>
        <v>3714.2890637882888</v>
      </c>
      <c r="K12" s="65"/>
      <c r="L12" s="65"/>
      <c r="M12" s="83"/>
      <c r="N12" s="84" t="s">
        <v>143</v>
      </c>
      <c r="Y12" s="111"/>
      <c r="Z12" s="111"/>
      <c r="AA12" s="111"/>
      <c r="AB12" s="111"/>
      <c r="AC12" s="111"/>
      <c r="AD12" s="111"/>
    </row>
    <row r="13" spans="1:37" ht="18.75" customHeight="1">
      <c r="B13" s="64" t="s">
        <v>33</v>
      </c>
      <c r="C13" s="64" t="s">
        <v>115</v>
      </c>
      <c r="D13" s="64" t="s">
        <v>152</v>
      </c>
      <c r="E13" s="60" t="s">
        <v>34</v>
      </c>
      <c r="F13" s="60"/>
      <c r="G13" s="64" t="s">
        <v>17</v>
      </c>
      <c r="H13" s="65">
        <f>'January 1, 2019'!G13*1.025</f>
        <v>3366.5854676614304</v>
      </c>
      <c r="I13" s="65">
        <f>'January 1, 2019'!H13*1.025</f>
        <v>3500.0607063750408</v>
      </c>
      <c r="J13" s="65">
        <f>'January 1, 2019'!I13*1.025</f>
        <v>3714.2890637882888</v>
      </c>
      <c r="K13" s="65"/>
      <c r="L13" s="65"/>
      <c r="M13" s="83"/>
      <c r="N13" s="84" t="s">
        <v>144</v>
      </c>
      <c r="Y13" s="111"/>
      <c r="Z13" s="111"/>
      <c r="AA13" s="111"/>
      <c r="AB13" s="111"/>
      <c r="AC13" s="111"/>
      <c r="AD13" s="111"/>
    </row>
    <row r="14" spans="1:37" ht="18.75" customHeight="1">
      <c r="B14" s="64" t="s">
        <v>35</v>
      </c>
      <c r="C14" s="64" t="s">
        <v>115</v>
      </c>
      <c r="D14" s="64" t="s">
        <v>153</v>
      </c>
      <c r="E14" s="60" t="s">
        <v>36</v>
      </c>
      <c r="F14" s="60"/>
      <c r="G14" s="64" t="s">
        <v>17</v>
      </c>
      <c r="H14" s="65">
        <f>'January 1, 2019'!G14*1.025</f>
        <v>3366.5854676614304</v>
      </c>
      <c r="I14" s="65">
        <f>'January 1, 2019'!H14*1.025</f>
        <v>3500.0607063750408</v>
      </c>
      <c r="J14" s="65">
        <f>'January 1, 2019'!I14*1.025</f>
        <v>3714.2890637882888</v>
      </c>
      <c r="K14" s="65"/>
      <c r="L14" s="65"/>
      <c r="M14" s="83"/>
      <c r="N14" s="84" t="s">
        <v>143</v>
      </c>
      <c r="Y14" s="111"/>
      <c r="Z14" s="111"/>
      <c r="AA14" s="111"/>
      <c r="AB14" s="111"/>
      <c r="AC14" s="111"/>
      <c r="AD14" s="111"/>
    </row>
    <row r="15" spans="1:37" ht="18.75" customHeight="1">
      <c r="B15" s="64" t="s">
        <v>37</v>
      </c>
      <c r="C15" s="64" t="s">
        <v>115</v>
      </c>
      <c r="D15" s="64" t="s">
        <v>152</v>
      </c>
      <c r="E15" s="60" t="s">
        <v>38</v>
      </c>
      <c r="F15" s="60"/>
      <c r="G15" s="64" t="s">
        <v>17</v>
      </c>
      <c r="H15" s="65">
        <f>'January 1, 2019'!G15*1.025</f>
        <v>3366.5854676614304</v>
      </c>
      <c r="I15" s="65">
        <f>'January 1, 2019'!H15*1.025</f>
        <v>3500.0607063750408</v>
      </c>
      <c r="J15" s="65">
        <f>'January 1, 2019'!I15*1.025</f>
        <v>3714.2890637882888</v>
      </c>
      <c r="K15" s="65"/>
      <c r="L15" s="65"/>
      <c r="M15" s="83"/>
      <c r="N15" s="84" t="s">
        <v>144</v>
      </c>
      <c r="Y15" s="111"/>
      <c r="Z15" s="111"/>
      <c r="AA15" s="111"/>
      <c r="AB15" s="111"/>
      <c r="AC15" s="111"/>
      <c r="AD15" s="111"/>
    </row>
    <row r="16" spans="1:37" ht="18.75" customHeight="1">
      <c r="B16" s="64" t="s">
        <v>41</v>
      </c>
      <c r="C16" s="64" t="s">
        <v>115</v>
      </c>
      <c r="D16" s="64" t="s">
        <v>154</v>
      </c>
      <c r="E16" s="66" t="s">
        <v>113</v>
      </c>
      <c r="F16" s="60"/>
      <c r="G16" s="64" t="s">
        <v>17</v>
      </c>
      <c r="H16" s="65">
        <f>'January 1, 2019'!G16*1.025</f>
        <v>3445.6339100063833</v>
      </c>
      <c r="I16" s="65">
        <f>'January 1, 2019'!H16*1.025</f>
        <v>3503.9483346870879</v>
      </c>
      <c r="J16" s="65">
        <f>'January 1, 2019'!I16*1.025</f>
        <v>3563.5586354718066</v>
      </c>
      <c r="K16" s="65">
        <f>'January 1, 2019'!J16*1.025</f>
        <v>3623.1689362565266</v>
      </c>
      <c r="L16" s="65">
        <f>'January 1, 2019'!K16*1.025</f>
        <v>3844.190885657556</v>
      </c>
      <c r="M16" s="83"/>
      <c r="N16" s="84" t="s">
        <v>144</v>
      </c>
      <c r="Y16" s="111"/>
      <c r="Z16" s="111"/>
      <c r="AA16" s="111"/>
      <c r="AB16" s="111"/>
      <c r="AC16" s="111"/>
      <c r="AD16" s="111"/>
    </row>
    <row r="17" spans="2:30" ht="18.75" customHeight="1">
      <c r="B17" s="64" t="s">
        <v>39</v>
      </c>
      <c r="C17" s="64" t="s">
        <v>115</v>
      </c>
      <c r="D17" s="64" t="s">
        <v>155</v>
      </c>
      <c r="E17" s="60" t="s">
        <v>42</v>
      </c>
      <c r="F17" s="59"/>
      <c r="G17" s="64" t="s">
        <v>17</v>
      </c>
      <c r="H17" s="65">
        <f>'January 1, 2019'!G17*1.025</f>
        <v>3445.6339100063833</v>
      </c>
      <c r="I17" s="65">
        <f>'January 1, 2019'!H17*1.025</f>
        <v>3503.9483346870879</v>
      </c>
      <c r="J17" s="65">
        <f>'January 1, 2019'!I17*1.025</f>
        <v>3563.5586354718066</v>
      </c>
      <c r="K17" s="65">
        <f>'January 1, 2019'!J17*1.025</f>
        <v>3623.1689362565266</v>
      </c>
      <c r="L17" s="65">
        <f>'January 1, 2019'!K17*1.025</f>
        <v>3844.190885657556</v>
      </c>
      <c r="M17" s="83"/>
      <c r="N17" s="84" t="s">
        <v>143</v>
      </c>
      <c r="Y17" s="111"/>
      <c r="Z17" s="111"/>
      <c r="AA17" s="111"/>
      <c r="AB17" s="111"/>
      <c r="AC17" s="111"/>
      <c r="AD17" s="111"/>
    </row>
    <row r="18" spans="2:30" ht="27.75" customHeight="1">
      <c r="B18" s="41" t="s">
        <v>107</v>
      </c>
      <c r="D18" s="46"/>
      <c r="H18" s="46"/>
      <c r="I18" s="46"/>
      <c r="J18" s="46"/>
      <c r="K18" s="46"/>
      <c r="L18" s="46"/>
      <c r="M18" s="46"/>
    </row>
    <row r="19" spans="2:30" ht="17.25" customHeight="1">
      <c r="B19" s="50" t="s">
        <v>50</v>
      </c>
      <c r="D19" s="46"/>
      <c r="H19" s="46"/>
      <c r="I19" s="46"/>
      <c r="J19" s="46"/>
      <c r="K19" s="46"/>
      <c r="L19" s="46"/>
      <c r="M19" s="46"/>
    </row>
    <row r="20" spans="2:30" ht="17.25" customHeight="1">
      <c r="B20" s="42" t="s">
        <v>51</v>
      </c>
      <c r="D20" s="46"/>
      <c r="H20" s="46"/>
      <c r="I20" s="46"/>
      <c r="J20" s="46"/>
      <c r="K20" s="46"/>
      <c r="L20" s="46"/>
      <c r="M20" s="46"/>
    </row>
    <row r="21" spans="2:30" ht="17.25" customHeight="1">
      <c r="B21" s="50" t="s">
        <v>52</v>
      </c>
      <c r="C21" s="46"/>
      <c r="D21" s="46"/>
    </row>
    <row r="22" spans="2:30" ht="17.25" customHeight="1">
      <c r="B22" s="50"/>
      <c r="C22" s="46"/>
      <c r="D22" s="46"/>
    </row>
    <row r="23" spans="2:30" ht="27.75" customHeight="1">
      <c r="B23" s="41" t="s">
        <v>136</v>
      </c>
      <c r="C23" s="331" t="s">
        <v>188</v>
      </c>
      <c r="D23" s="331"/>
      <c r="E23" s="331"/>
      <c r="F23" s="331"/>
      <c r="G23" s="331"/>
      <c r="H23" s="331"/>
      <c r="I23" s="331"/>
      <c r="J23" s="331"/>
      <c r="K23" s="331"/>
      <c r="L23" s="331"/>
      <c r="M23" s="331"/>
    </row>
    <row r="24" spans="2:30" ht="27.75" customHeight="1">
      <c r="B24" s="41"/>
      <c r="C24" s="115"/>
      <c r="D24" s="115"/>
      <c r="E24" s="115"/>
      <c r="F24" s="115"/>
      <c r="G24" s="115"/>
      <c r="H24" s="115" t="s">
        <v>147</v>
      </c>
      <c r="I24" s="42" t="s">
        <v>145</v>
      </c>
      <c r="K24" s="84"/>
      <c r="L24" s="67"/>
      <c r="N24" s="42"/>
    </row>
    <row r="25" spans="2:30" ht="17.25" customHeight="1">
      <c r="B25" s="49">
        <f>15.8287536055732*1.025</f>
        <v>16.224472445712529</v>
      </c>
      <c r="C25" s="52" t="s">
        <v>161</v>
      </c>
      <c r="D25" s="52"/>
      <c r="E25" s="52"/>
      <c r="F25" s="52"/>
      <c r="G25" s="52"/>
      <c r="H25" s="114">
        <f t="shared" ref="H25:H43" si="0">B25/109.2</f>
        <v>0.14857575499736747</v>
      </c>
      <c r="I25" s="152">
        <f t="shared" ref="I25:I38" si="1">I47</f>
        <v>0.2028059055714066</v>
      </c>
      <c r="J25" s="95"/>
      <c r="K25" s="84"/>
      <c r="L25" s="67"/>
      <c r="N25" s="42"/>
    </row>
    <row r="26" spans="2:30" ht="17.25" customHeight="1">
      <c r="B26" s="49">
        <f>22.449931584375*1.025</f>
        <v>23.011179873984375</v>
      </c>
      <c r="C26" s="52" t="s">
        <v>162</v>
      </c>
      <c r="D26" s="52"/>
      <c r="E26" s="52"/>
      <c r="F26" s="52"/>
      <c r="G26" s="52"/>
      <c r="H26" s="114">
        <f t="shared" si="0"/>
        <v>0.21072509042110232</v>
      </c>
      <c r="I26" s="152">
        <f t="shared" si="1"/>
        <v>0.28763974842480466</v>
      </c>
      <c r="J26" s="95"/>
      <c r="K26" s="84"/>
      <c r="L26" s="67"/>
      <c r="N26" s="42"/>
    </row>
    <row r="27" spans="2:30" ht="17.25" customHeight="1">
      <c r="B27" s="49">
        <f>29.0711095631769*1.025</f>
        <v>29.797887302256321</v>
      </c>
      <c r="C27" s="52" t="s">
        <v>163</v>
      </c>
      <c r="D27" s="94"/>
      <c r="E27" s="94"/>
      <c r="F27" s="94"/>
      <c r="G27" s="94"/>
      <c r="H27" s="114">
        <f t="shared" si="0"/>
        <v>0.27287442584483812</v>
      </c>
      <c r="I27" s="152">
        <f t="shared" si="1"/>
        <v>0.37247359127820401</v>
      </c>
      <c r="J27" s="95"/>
      <c r="K27" s="84"/>
      <c r="L27" s="67"/>
      <c r="N27" s="42"/>
    </row>
    <row r="28" spans="2:30" ht="17.25" customHeight="1">
      <c r="B28" s="49">
        <f>35.6922875419788*1.025</f>
        <v>36.584594730528266</v>
      </c>
      <c r="C28" s="52" t="s">
        <v>164</v>
      </c>
      <c r="D28" s="94"/>
      <c r="E28" s="94"/>
      <c r="F28" s="94"/>
      <c r="G28" s="94"/>
      <c r="H28" s="114">
        <f t="shared" si="0"/>
        <v>0.33502376126857386</v>
      </c>
      <c r="I28" s="152">
        <f t="shared" si="1"/>
        <v>0.45730743413160335</v>
      </c>
      <c r="J28" s="95"/>
      <c r="K28" s="84"/>
      <c r="L28" s="67"/>
      <c r="N28" s="42"/>
    </row>
    <row r="29" spans="2:30" ht="17.25" customHeight="1">
      <c r="B29" s="49">
        <f>42.3134655207806*1.025</f>
        <v>43.371302158800113</v>
      </c>
      <c r="C29" s="52" t="s">
        <v>165</v>
      </c>
      <c r="D29" s="94"/>
      <c r="E29" s="94"/>
      <c r="F29" s="94"/>
      <c r="G29" s="94"/>
      <c r="H29" s="114">
        <f t="shared" si="0"/>
        <v>0.39717309669230871</v>
      </c>
      <c r="I29" s="152">
        <f t="shared" si="1"/>
        <v>0.54214127698500136</v>
      </c>
      <c r="J29" s="95"/>
      <c r="K29" s="84"/>
      <c r="L29" s="67"/>
      <c r="N29" s="42"/>
    </row>
    <row r="30" spans="2:30" ht="17.25" customHeight="1">
      <c r="B30" s="49">
        <f>127.884431703851*1.025</f>
        <v>131.08154249644727</v>
      </c>
      <c r="C30" s="52" t="s">
        <v>166</v>
      </c>
      <c r="D30" s="94"/>
      <c r="E30" s="94"/>
      <c r="F30" s="94"/>
      <c r="G30" s="94"/>
      <c r="H30" s="114">
        <f t="shared" si="0"/>
        <v>1.2003804257916417</v>
      </c>
      <c r="I30" s="152">
        <f t="shared" si="1"/>
        <v>1.6385192812055909</v>
      </c>
      <c r="J30" s="95"/>
      <c r="K30" s="84"/>
      <c r="L30" s="67"/>
      <c r="N30" s="42"/>
    </row>
    <row r="31" spans="2:30" ht="17.25" customHeight="1">
      <c r="B31" s="49">
        <f>135.074617165206*1.025</f>
        <v>138.45148259433614</v>
      </c>
      <c r="C31" s="52" t="s">
        <v>167</v>
      </c>
      <c r="H31" s="114">
        <f t="shared" si="0"/>
        <v>1.267870719728353</v>
      </c>
      <c r="I31" s="152">
        <f t="shared" si="1"/>
        <v>1.7306435324292018</v>
      </c>
      <c r="J31" s="95"/>
      <c r="K31" s="84"/>
      <c r="L31" s="67"/>
      <c r="N31" s="42"/>
    </row>
    <row r="32" spans="2:30" ht="17.25" customHeight="1">
      <c r="B32" s="49">
        <f>142.251870638321*1.025</f>
        <v>145.80816740427903</v>
      </c>
      <c r="C32" s="52" t="s">
        <v>168</v>
      </c>
      <c r="H32" s="114">
        <f t="shared" si="0"/>
        <v>1.3352396282443135</v>
      </c>
      <c r="I32" s="152">
        <f t="shared" si="1"/>
        <v>1.8226020925534878</v>
      </c>
      <c r="J32" s="95"/>
      <c r="K32" s="84"/>
      <c r="L32" s="67"/>
      <c r="N32" s="42"/>
    </row>
    <row r="33" spans="2:16" ht="17.25" customHeight="1">
      <c r="B33" s="49">
        <f>186.065446794924*1.025</f>
        <v>190.71708296479707</v>
      </c>
      <c r="C33" s="52" t="s">
        <v>169</v>
      </c>
      <c r="H33" s="114">
        <f t="shared" si="0"/>
        <v>1.7464934337435629</v>
      </c>
      <c r="I33" s="152">
        <f t="shared" si="1"/>
        <v>2.3839635370599632</v>
      </c>
      <c r="J33" s="95"/>
      <c r="K33" s="84"/>
      <c r="L33" s="67"/>
      <c r="N33" s="42"/>
    </row>
    <row r="34" spans="2:16" ht="17.25" customHeight="1">
      <c r="B34" s="49">
        <f>193.242700268039*1.025</f>
        <v>198.07376777473993</v>
      </c>
      <c r="C34" s="52" t="s">
        <v>170</v>
      </c>
      <c r="H34" s="114">
        <f t="shared" si="0"/>
        <v>1.8138623422595233</v>
      </c>
      <c r="I34" s="152">
        <f t="shared" si="1"/>
        <v>2.4759220971842493</v>
      </c>
      <c r="J34" s="95"/>
      <c r="K34" s="84"/>
      <c r="L34" s="67"/>
      <c r="N34" s="42"/>
    </row>
    <row r="35" spans="2:16" ht="17.25" customHeight="1">
      <c r="B35" s="49">
        <f>200.432885729394*1.025</f>
        <v>205.44370787262883</v>
      </c>
      <c r="C35" s="52" t="s">
        <v>171</v>
      </c>
      <c r="H35" s="114">
        <f t="shared" si="0"/>
        <v>1.8813526361962347</v>
      </c>
      <c r="I35" s="152">
        <f t="shared" si="1"/>
        <v>2.5680463484078606</v>
      </c>
      <c r="J35" s="95"/>
      <c r="K35" s="84"/>
      <c r="L35" s="67"/>
      <c r="N35" s="42"/>
    </row>
    <row r="36" spans="2:16" ht="17.25" customHeight="1">
      <c r="B36" s="49">
        <f>207.62307119075*1.025</f>
        <v>212.81364797051873</v>
      </c>
      <c r="C36" s="52" t="s">
        <v>172</v>
      </c>
      <c r="H36" s="114">
        <f t="shared" si="0"/>
        <v>1.9488429301329553</v>
      </c>
      <c r="I36" s="152">
        <f t="shared" si="1"/>
        <v>2.6601705996314839</v>
      </c>
      <c r="J36" s="95"/>
      <c r="K36" s="84"/>
      <c r="L36" s="67"/>
      <c r="N36" s="42"/>
    </row>
    <row r="37" spans="2:16" ht="17.25" customHeight="1">
      <c r="B37" s="49">
        <f>228.003884656749*1.025</f>
        <v>233.7039817731677</v>
      </c>
      <c r="C37" s="52" t="s">
        <v>173</v>
      </c>
      <c r="H37" s="114">
        <f t="shared" si="0"/>
        <v>2.1401463532341363</v>
      </c>
      <c r="I37" s="152">
        <f t="shared" si="1"/>
        <v>2.9212997721645961</v>
      </c>
      <c r="J37" s="95"/>
      <c r="K37" s="84"/>
      <c r="L37" s="67"/>
      <c r="N37" s="42"/>
    </row>
    <row r="38" spans="2:16" ht="17.25" customHeight="1">
      <c r="B38" s="49">
        <f>286.456471500859*1.025</f>
        <v>293.61788328838043</v>
      </c>
      <c r="C38" s="52" t="s">
        <v>174</v>
      </c>
      <c r="H38" s="114">
        <f t="shared" si="0"/>
        <v>2.6888084550217988</v>
      </c>
      <c r="I38" s="152">
        <f t="shared" si="1"/>
        <v>3.6702235411047552</v>
      </c>
      <c r="J38" s="95"/>
      <c r="K38" s="84"/>
      <c r="L38" s="67"/>
      <c r="N38" s="42"/>
    </row>
    <row r="39" spans="2:16" ht="17.25" customHeight="1">
      <c r="B39" s="49">
        <f>293.646656962214*1.025</f>
        <v>300.98782338626933</v>
      </c>
      <c r="C39" s="52" t="s">
        <v>175</v>
      </c>
      <c r="H39" s="114">
        <f t="shared" si="0"/>
        <v>2.7562987489585105</v>
      </c>
      <c r="I39" s="155">
        <v>3.762</v>
      </c>
      <c r="J39" s="95"/>
      <c r="K39" s="84"/>
      <c r="L39" s="67"/>
      <c r="M39" s="152"/>
      <c r="N39" s="42"/>
    </row>
    <row r="40" spans="2:16" ht="17.25" customHeight="1">
      <c r="B40" s="49">
        <f>300.836842423569*1.025</f>
        <v>308.35776348415823</v>
      </c>
      <c r="C40" s="52" t="s">
        <v>176</v>
      </c>
      <c r="H40" s="114">
        <f t="shared" si="0"/>
        <v>2.8237890428952217</v>
      </c>
      <c r="I40" s="152">
        <v>3.8540000000000001</v>
      </c>
      <c r="J40" s="95"/>
      <c r="K40" s="84"/>
      <c r="L40" s="67"/>
      <c r="M40" s="152"/>
      <c r="N40" s="42"/>
    </row>
    <row r="41" spans="2:16" ht="17.25" customHeight="1">
      <c r="B41" s="49">
        <f>308.027027884925*1.025</f>
        <v>315.72770358204809</v>
      </c>
      <c r="C41" s="52" t="s">
        <v>177</v>
      </c>
      <c r="H41" s="114">
        <f t="shared" si="0"/>
        <v>2.8912793368319423</v>
      </c>
      <c r="I41" s="152">
        <v>3.9470000000000001</v>
      </c>
      <c r="J41" s="95"/>
      <c r="K41" s="84"/>
      <c r="L41" s="67"/>
      <c r="M41" s="152"/>
      <c r="N41" s="42"/>
    </row>
    <row r="42" spans="2:16" ht="17.25" customHeight="1">
      <c r="B42" s="49">
        <f>315.21721334628*1.025</f>
        <v>323.09764367993699</v>
      </c>
      <c r="C42" s="52" t="s">
        <v>178</v>
      </c>
      <c r="H42" s="114">
        <f t="shared" si="0"/>
        <v>2.9587696307686535</v>
      </c>
      <c r="I42" s="152">
        <v>4.0389999999999997</v>
      </c>
      <c r="J42" s="95"/>
      <c r="K42" s="84"/>
      <c r="L42" s="67"/>
      <c r="M42" s="152"/>
      <c r="N42" s="42"/>
    </row>
    <row r="43" spans="2:16" ht="17.25" customHeight="1">
      <c r="B43" s="49">
        <f>344.365914838896*1.025</f>
        <v>352.97506270986838</v>
      </c>
      <c r="C43" s="52" t="s">
        <v>179</v>
      </c>
      <c r="H43" s="114">
        <f t="shared" si="0"/>
        <v>3.2323723691379889</v>
      </c>
      <c r="I43" s="152">
        <v>4.4119999999999999</v>
      </c>
      <c r="J43" s="95"/>
      <c r="K43" s="84"/>
      <c r="L43" s="67"/>
      <c r="M43" s="152"/>
      <c r="N43" s="42"/>
    </row>
    <row r="44" spans="2:16">
      <c r="B44" s="49">
        <f>H66*109.2</f>
        <v>455.69159999999999</v>
      </c>
      <c r="C44" s="52" t="s">
        <v>180</v>
      </c>
      <c r="O44" s="67"/>
      <c r="P44" s="153"/>
    </row>
    <row r="45" spans="2:16" ht="27.75" customHeight="1">
      <c r="B45" s="41" t="s">
        <v>136</v>
      </c>
      <c r="C45" s="331" t="s">
        <v>181</v>
      </c>
      <c r="D45" s="331"/>
      <c r="E45" s="331"/>
      <c r="F45" s="331"/>
      <c r="G45" s="331"/>
      <c r="H45" s="331"/>
      <c r="I45" s="331"/>
      <c r="J45" s="331"/>
      <c r="K45" s="331"/>
      <c r="L45" s="331"/>
      <c r="M45" s="331"/>
    </row>
    <row r="46" spans="2:16" ht="27.75" customHeight="1">
      <c r="B46" s="41"/>
      <c r="C46" s="115"/>
      <c r="D46" s="115"/>
      <c r="E46" s="115"/>
      <c r="F46" s="115"/>
      <c r="G46" s="115"/>
      <c r="H46" s="115" t="s">
        <v>204</v>
      </c>
      <c r="I46" s="115" t="s">
        <v>229</v>
      </c>
      <c r="J46" s="115"/>
      <c r="M46" s="115"/>
      <c r="N46" s="67"/>
    </row>
    <row r="47" spans="2:16" ht="17.25" customHeight="1">
      <c r="B47" s="49">
        <f>15.8287536055732*1.025</f>
        <v>16.224472445712529</v>
      </c>
      <c r="C47" s="52" t="s">
        <v>161</v>
      </c>
      <c r="D47" s="52"/>
      <c r="E47" s="52"/>
      <c r="F47" s="52"/>
      <c r="G47" s="52"/>
      <c r="H47" s="114">
        <f t="shared" ref="H47:H60" si="2">H25</f>
        <v>0.14857575499736747</v>
      </c>
      <c r="I47" s="114">
        <f t="shared" ref="I47:I66" si="3">B47/80</f>
        <v>0.2028059055714066</v>
      </c>
      <c r="J47" s="156"/>
      <c r="M47" s="52"/>
      <c r="N47" s="67"/>
    </row>
    <row r="48" spans="2:16" ht="17.25" customHeight="1">
      <c r="B48" s="49">
        <f>22.449931584375*1.025</f>
        <v>23.011179873984375</v>
      </c>
      <c r="C48" s="52" t="s">
        <v>162</v>
      </c>
      <c r="D48" s="52"/>
      <c r="E48" s="52"/>
      <c r="F48" s="52"/>
      <c r="G48" s="52"/>
      <c r="H48" s="114">
        <f t="shared" si="2"/>
        <v>0.21072509042110232</v>
      </c>
      <c r="I48" s="114">
        <f t="shared" si="3"/>
        <v>0.28763974842480466</v>
      </c>
      <c r="J48" s="156"/>
      <c r="M48" s="52"/>
      <c r="N48" s="67"/>
    </row>
    <row r="49" spans="2:15" ht="17.25" customHeight="1">
      <c r="B49" s="49">
        <f>29.0711095631769*1.025</f>
        <v>29.797887302256321</v>
      </c>
      <c r="C49" s="52" t="s">
        <v>163</v>
      </c>
      <c r="D49" s="93"/>
      <c r="E49" s="93"/>
      <c r="F49" s="93"/>
      <c r="G49" s="93"/>
      <c r="H49" s="114">
        <f t="shared" si="2"/>
        <v>0.27287442584483812</v>
      </c>
      <c r="I49" s="114">
        <f t="shared" si="3"/>
        <v>0.37247359127820401</v>
      </c>
      <c r="J49" s="156"/>
      <c r="M49" s="93"/>
      <c r="N49" s="67"/>
    </row>
    <row r="50" spans="2:15" ht="17.25" customHeight="1">
      <c r="B50" s="49">
        <f>35.6922875419788*1.025</f>
        <v>36.584594730528266</v>
      </c>
      <c r="C50" s="52" t="s">
        <v>164</v>
      </c>
      <c r="D50" s="93"/>
      <c r="E50" s="93"/>
      <c r="F50" s="93"/>
      <c r="G50" s="93"/>
      <c r="H50" s="114">
        <f t="shared" si="2"/>
        <v>0.33502376126857386</v>
      </c>
      <c r="I50" s="114">
        <f t="shared" si="3"/>
        <v>0.45730743413160335</v>
      </c>
      <c r="J50" s="156"/>
      <c r="M50" s="93"/>
      <c r="N50" s="67"/>
    </row>
    <row r="51" spans="2:15" ht="17.25" customHeight="1">
      <c r="B51" s="49">
        <f>42.3134655207806*1.025</f>
        <v>43.371302158800113</v>
      </c>
      <c r="C51" s="52" t="s">
        <v>165</v>
      </c>
      <c r="D51" s="93"/>
      <c r="E51" s="93"/>
      <c r="F51" s="93"/>
      <c r="G51" s="93"/>
      <c r="H51" s="114">
        <f t="shared" si="2"/>
        <v>0.39717309669230871</v>
      </c>
      <c r="I51" s="114">
        <f t="shared" si="3"/>
        <v>0.54214127698500136</v>
      </c>
      <c r="J51" s="156"/>
      <c r="M51" s="93"/>
      <c r="N51" s="67"/>
    </row>
    <row r="52" spans="2:15" ht="17.25" customHeight="1">
      <c r="B52" s="49">
        <f>127.884431703851*1.025</f>
        <v>131.08154249644727</v>
      </c>
      <c r="C52" s="52" t="s">
        <v>166</v>
      </c>
      <c r="D52" s="93"/>
      <c r="E52" s="93"/>
      <c r="F52" s="93"/>
      <c r="G52" s="106"/>
      <c r="H52" s="114">
        <f t="shared" si="2"/>
        <v>1.2003804257916417</v>
      </c>
      <c r="I52" s="114">
        <f t="shared" si="3"/>
        <v>1.6385192812055909</v>
      </c>
      <c r="J52" s="156"/>
      <c r="M52" s="106"/>
      <c r="N52" s="68"/>
      <c r="O52" s="98"/>
    </row>
    <row r="53" spans="2:15" ht="17.25" customHeight="1">
      <c r="B53" s="49">
        <f>135.074617165206*1.025</f>
        <v>138.45148259433614</v>
      </c>
      <c r="C53" s="52" t="s">
        <v>167</v>
      </c>
      <c r="G53" s="98"/>
      <c r="H53" s="114">
        <f t="shared" si="2"/>
        <v>1.267870719728353</v>
      </c>
      <c r="I53" s="114">
        <f t="shared" si="3"/>
        <v>1.7306435324292018</v>
      </c>
      <c r="J53" s="156"/>
      <c r="M53" s="98"/>
      <c r="N53" s="68"/>
      <c r="O53" s="107"/>
    </row>
    <row r="54" spans="2:15" ht="17.25" customHeight="1">
      <c r="B54" s="49">
        <f>142.251870638321*1.025</f>
        <v>145.80816740427903</v>
      </c>
      <c r="C54" s="52" t="s">
        <v>168</v>
      </c>
      <c r="G54" s="98"/>
      <c r="H54" s="114">
        <f t="shared" si="2"/>
        <v>1.3352396282443135</v>
      </c>
      <c r="I54" s="114">
        <f t="shared" si="3"/>
        <v>1.8226020925534878</v>
      </c>
      <c r="J54" s="156"/>
      <c r="M54" s="98"/>
      <c r="N54" s="68"/>
      <c r="O54" s="98"/>
    </row>
    <row r="55" spans="2:15" ht="17.25" customHeight="1">
      <c r="B55" s="49">
        <f>186.065446794924*1.025</f>
        <v>190.71708296479707</v>
      </c>
      <c r="C55" s="52" t="s">
        <v>169</v>
      </c>
      <c r="G55" s="98"/>
      <c r="H55" s="114">
        <f t="shared" si="2"/>
        <v>1.7464934337435629</v>
      </c>
      <c r="I55" s="114">
        <f t="shared" si="3"/>
        <v>2.3839635370599632</v>
      </c>
      <c r="J55" s="156"/>
      <c r="M55" s="98"/>
      <c r="N55" s="68"/>
      <c r="O55" s="98"/>
    </row>
    <row r="56" spans="2:15" ht="17.25" customHeight="1">
      <c r="B56" s="49">
        <f>193.242700268039*1.025</f>
        <v>198.07376777473993</v>
      </c>
      <c r="C56" s="52" t="s">
        <v>170</v>
      </c>
      <c r="G56" s="98"/>
      <c r="H56" s="114">
        <f t="shared" si="2"/>
        <v>1.8138623422595233</v>
      </c>
      <c r="I56" s="114">
        <f t="shared" si="3"/>
        <v>2.4759220971842493</v>
      </c>
      <c r="J56" s="156"/>
      <c r="M56" s="98"/>
      <c r="N56" s="68"/>
      <c r="O56" s="98"/>
    </row>
    <row r="57" spans="2:15" ht="17.25" customHeight="1">
      <c r="B57" s="49">
        <f>200.432885729394*1.025</f>
        <v>205.44370787262883</v>
      </c>
      <c r="C57" s="52" t="s">
        <v>171</v>
      </c>
      <c r="G57" s="98"/>
      <c r="H57" s="114">
        <f t="shared" si="2"/>
        <v>1.8813526361962347</v>
      </c>
      <c r="I57" s="114">
        <f t="shared" si="3"/>
        <v>2.5680463484078606</v>
      </c>
      <c r="J57" s="156"/>
      <c r="M57" s="98"/>
      <c r="N57" s="68"/>
      <c r="O57" s="98"/>
    </row>
    <row r="58" spans="2:15" ht="17.25" customHeight="1">
      <c r="B58" s="49">
        <f>207.62307119075*1.025</f>
        <v>212.81364797051873</v>
      </c>
      <c r="C58" s="52" t="s">
        <v>172</v>
      </c>
      <c r="G58" s="98"/>
      <c r="H58" s="114">
        <f t="shared" si="2"/>
        <v>1.9488429301329553</v>
      </c>
      <c r="I58" s="114">
        <f t="shared" si="3"/>
        <v>2.6601705996314839</v>
      </c>
      <c r="J58" s="156"/>
      <c r="M58" s="98"/>
      <c r="N58" s="68"/>
      <c r="O58" s="98"/>
    </row>
    <row r="59" spans="2:15" ht="17.25" customHeight="1">
      <c r="B59" s="49">
        <f>228.003884656749*1.025</f>
        <v>233.7039817731677</v>
      </c>
      <c r="C59" s="52" t="s">
        <v>173</v>
      </c>
      <c r="G59" s="98"/>
      <c r="H59" s="114">
        <f t="shared" si="2"/>
        <v>2.1401463532341363</v>
      </c>
      <c r="I59" s="114">
        <f t="shared" si="3"/>
        <v>2.9212997721645961</v>
      </c>
      <c r="J59" s="156"/>
      <c r="M59" s="98"/>
      <c r="N59" s="68"/>
      <c r="O59" s="98"/>
    </row>
    <row r="60" spans="2:15" ht="17.25" customHeight="1">
      <c r="B60" s="49">
        <f>286.456471500859*1.025</f>
        <v>293.61788328838043</v>
      </c>
      <c r="C60" s="52" t="s">
        <v>174</v>
      </c>
      <c r="G60" s="98"/>
      <c r="H60" s="114">
        <f t="shared" si="2"/>
        <v>2.6888084550217988</v>
      </c>
      <c r="I60" s="114">
        <f t="shared" si="3"/>
        <v>3.6702235411047552</v>
      </c>
      <c r="J60" s="156"/>
      <c r="M60" s="98"/>
      <c r="N60" s="68"/>
      <c r="O60" s="98"/>
    </row>
    <row r="61" spans="2:15" ht="17.25" customHeight="1">
      <c r="B61" s="49">
        <v>345.87257338626961</v>
      </c>
      <c r="C61" s="52" t="s">
        <v>175</v>
      </c>
      <c r="G61" s="98"/>
      <c r="H61" s="114">
        <v>3.1669999999999998</v>
      </c>
      <c r="I61" s="114">
        <f t="shared" si="3"/>
        <v>4.3234071673283703</v>
      </c>
      <c r="J61" s="156"/>
      <c r="M61" s="105"/>
      <c r="N61" s="68"/>
      <c r="O61" s="105"/>
    </row>
    <row r="62" spans="2:15" ht="17.25" customHeight="1">
      <c r="B62" s="49">
        <v>353.24251348415862</v>
      </c>
      <c r="C62" s="52" t="s">
        <v>176</v>
      </c>
      <c r="G62" s="98"/>
      <c r="H62" s="114">
        <v>3.2349999999999999</v>
      </c>
      <c r="I62" s="114">
        <f t="shared" si="3"/>
        <v>4.4155314185519829</v>
      </c>
      <c r="J62" s="156"/>
      <c r="M62" s="98"/>
      <c r="N62" s="68"/>
      <c r="O62" s="105"/>
    </row>
    <row r="63" spans="2:15" ht="17.25" customHeight="1">
      <c r="B63" s="49">
        <v>360.61245358204769</v>
      </c>
      <c r="C63" s="52" t="s">
        <v>177</v>
      </c>
      <c r="G63" s="98"/>
      <c r="H63" s="114">
        <v>3.302</v>
      </c>
      <c r="I63" s="114">
        <f t="shared" si="3"/>
        <v>4.5076556697755965</v>
      </c>
      <c r="J63" s="156"/>
      <c r="M63" s="98"/>
      <c r="N63" s="68"/>
      <c r="O63" s="105"/>
    </row>
    <row r="64" spans="2:15" ht="17.25" customHeight="1">
      <c r="B64" s="49">
        <v>367.98239367993682</v>
      </c>
      <c r="C64" s="52" t="s">
        <v>178</v>
      </c>
      <c r="G64" s="98"/>
      <c r="H64" s="114">
        <v>3.37</v>
      </c>
      <c r="I64" s="114">
        <f t="shared" si="3"/>
        <v>4.5997799209992101</v>
      </c>
      <c r="J64" s="156"/>
      <c r="M64" s="98"/>
      <c r="N64" s="68"/>
      <c r="O64" s="105"/>
    </row>
    <row r="65" spans="2:15" ht="17.25" customHeight="1">
      <c r="B65" s="49">
        <v>397.85981270986821</v>
      </c>
      <c r="C65" s="52" t="s">
        <v>179</v>
      </c>
      <c r="G65" s="98"/>
      <c r="H65" s="114">
        <v>3.6429999999999998</v>
      </c>
      <c r="I65" s="114">
        <f t="shared" si="3"/>
        <v>4.973247658873353</v>
      </c>
      <c r="J65" s="156"/>
      <c r="M65" s="98"/>
      <c r="N65" s="68"/>
      <c r="O65" s="105"/>
    </row>
    <row r="66" spans="2:15" ht="17.25" customHeight="1">
      <c r="B66" s="49">
        <v>455.73131270986818</v>
      </c>
      <c r="C66" s="52" t="s">
        <v>180</v>
      </c>
      <c r="G66" s="98"/>
      <c r="H66" s="114">
        <v>4.173</v>
      </c>
      <c r="I66" s="114">
        <f t="shared" si="3"/>
        <v>5.6966414088733526</v>
      </c>
      <c r="J66" s="156"/>
      <c r="M66" s="98"/>
      <c r="N66" s="68"/>
    </row>
    <row r="67" spans="2:15" ht="17.25" customHeight="1">
      <c r="B67" s="49"/>
      <c r="C67" s="52"/>
      <c r="G67" s="98"/>
      <c r="J67" s="114"/>
      <c r="K67" s="98"/>
      <c r="L67" s="98"/>
      <c r="M67" s="105"/>
      <c r="N67" s="98"/>
      <c r="O67" s="68"/>
    </row>
    <row r="68" spans="2:15">
      <c r="B68" s="50"/>
      <c r="C68" s="46"/>
      <c r="D68" s="46"/>
      <c r="H68" s="95"/>
      <c r="I68" s="95"/>
      <c r="J68" s="95"/>
    </row>
    <row r="69" spans="2:15">
      <c r="B69" s="50"/>
      <c r="C69" s="46"/>
      <c r="D69" s="46"/>
      <c r="H69" s="95"/>
      <c r="I69" s="95"/>
      <c r="J69" s="95"/>
    </row>
    <row r="70" spans="2:15">
      <c r="B70" s="50"/>
      <c r="C70" s="46"/>
      <c r="D70" s="46"/>
      <c r="H70" s="95"/>
      <c r="I70" s="95"/>
      <c r="J70" s="95"/>
    </row>
    <row r="71" spans="2:15">
      <c r="B71" s="50"/>
      <c r="C71" s="46"/>
      <c r="D71" s="46"/>
      <c r="H71" s="95"/>
      <c r="I71" s="95"/>
      <c r="J71" s="95"/>
    </row>
    <row r="72" spans="2:15">
      <c r="B72" s="43"/>
      <c r="C72" s="46"/>
      <c r="D72" s="46"/>
      <c r="H72" s="95"/>
      <c r="I72" s="95"/>
      <c r="J72" s="95"/>
    </row>
    <row r="73" spans="2:15">
      <c r="B73" s="41"/>
      <c r="C73" s="44"/>
      <c r="D73" s="44"/>
      <c r="E73" s="41"/>
      <c r="F73" s="41"/>
      <c r="G73" s="41"/>
      <c r="H73" s="95"/>
      <c r="I73" s="95"/>
      <c r="J73" s="95"/>
      <c r="K73" s="41"/>
      <c r="L73" s="41"/>
      <c r="M73" s="41"/>
      <c r="N73" s="85"/>
    </row>
    <row r="74" spans="2:15">
      <c r="B74" s="44"/>
      <c r="H74" s="114"/>
    </row>
    <row r="75" spans="2:15">
      <c r="B75" s="46"/>
      <c r="C75" s="44"/>
      <c r="D75" s="44"/>
      <c r="E75" s="44"/>
      <c r="F75" s="44"/>
      <c r="G75" s="44"/>
      <c r="H75" s="45" t="s">
        <v>187</v>
      </c>
      <c r="I75" s="45"/>
      <c r="J75" s="45"/>
      <c r="K75" s="45"/>
      <c r="L75" s="45"/>
      <c r="M75" s="45"/>
      <c r="N75" s="86"/>
    </row>
    <row r="76" spans="2:15">
      <c r="B76" s="46"/>
      <c r="C76" s="46"/>
      <c r="D76" s="46"/>
      <c r="G76" s="46"/>
      <c r="H76" s="46"/>
      <c r="I76" s="46"/>
      <c r="J76" s="46"/>
      <c r="K76" s="46"/>
      <c r="L76" s="46"/>
      <c r="M76" s="46"/>
    </row>
    <row r="77" spans="2:15">
      <c r="B77" s="46"/>
      <c r="C77" s="46"/>
      <c r="D77" s="46"/>
      <c r="G77" s="46"/>
      <c r="H77" s="46"/>
      <c r="I77" s="46"/>
      <c r="J77" s="46"/>
      <c r="K77" s="46"/>
      <c r="L77" s="46"/>
      <c r="M77" s="46"/>
    </row>
    <row r="78" spans="2:15">
      <c r="B78" s="46"/>
      <c r="C78" s="46"/>
      <c r="D78" s="46"/>
      <c r="G78" s="46"/>
      <c r="H78" s="46"/>
      <c r="I78" s="46"/>
      <c r="J78" s="46"/>
      <c r="K78" s="46"/>
      <c r="L78" s="46"/>
      <c r="M78" s="46"/>
    </row>
    <row r="79" spans="2:15">
      <c r="B79" s="46"/>
      <c r="C79" s="46"/>
      <c r="D79" s="46"/>
      <c r="G79" s="46"/>
      <c r="H79" s="46"/>
      <c r="I79" s="46"/>
      <c r="J79" s="46"/>
      <c r="K79" s="46"/>
      <c r="L79" s="46"/>
      <c r="M79" s="46"/>
    </row>
    <row r="80" spans="2:15">
      <c r="B80" s="46"/>
      <c r="C80" s="46"/>
      <c r="D80" s="46"/>
      <c r="G80" s="46"/>
      <c r="H80" s="46"/>
      <c r="I80" s="46"/>
      <c r="J80" s="46"/>
      <c r="K80" s="46"/>
      <c r="L80" s="46"/>
      <c r="M80" s="46"/>
    </row>
    <row r="81" spans="2:14">
      <c r="B81" s="46"/>
      <c r="C81" s="46"/>
      <c r="D81" s="46"/>
      <c r="G81" s="46"/>
      <c r="H81" s="46"/>
      <c r="I81" s="46" t="s">
        <v>187</v>
      </c>
      <c r="J81" s="46"/>
      <c r="K81" s="46"/>
      <c r="L81" s="46"/>
      <c r="M81" s="46"/>
    </row>
    <row r="82" spans="2:14">
      <c r="B82" s="46"/>
      <c r="C82" s="46"/>
      <c r="D82" s="46"/>
      <c r="G82" s="46"/>
      <c r="H82" s="46"/>
      <c r="I82" s="46"/>
      <c r="J82" s="46"/>
      <c r="K82" s="46"/>
      <c r="L82" s="46"/>
      <c r="M82" s="46"/>
    </row>
    <row r="83" spans="2:14">
      <c r="B83" s="46"/>
      <c r="C83" s="46"/>
      <c r="D83" s="46"/>
      <c r="G83" s="46"/>
      <c r="H83" s="46"/>
      <c r="I83" s="46"/>
      <c r="J83" s="46"/>
      <c r="K83" s="46"/>
      <c r="L83" s="46"/>
      <c r="M83" s="46"/>
    </row>
    <row r="84" spans="2:14">
      <c r="B84" s="46"/>
      <c r="C84" s="46"/>
      <c r="D84" s="46"/>
      <c r="G84" s="46"/>
      <c r="H84" s="46"/>
      <c r="I84" s="46"/>
      <c r="J84" s="46"/>
      <c r="K84" s="46"/>
      <c r="L84" s="46"/>
      <c r="M84" s="46"/>
    </row>
    <row r="85" spans="2:14">
      <c r="B85" s="46"/>
      <c r="C85" s="46"/>
      <c r="D85" s="46"/>
      <c r="G85" s="46"/>
      <c r="H85" s="46"/>
      <c r="I85" s="46"/>
      <c r="J85" s="46"/>
      <c r="K85" s="46"/>
      <c r="L85" s="46"/>
      <c r="M85" s="46"/>
    </row>
    <row r="86" spans="2:14">
      <c r="B86" s="41"/>
      <c r="C86" s="46"/>
      <c r="D86" s="46"/>
      <c r="E86" s="48"/>
      <c r="G86" s="46"/>
      <c r="H86" s="46"/>
      <c r="I86" s="46"/>
      <c r="J86" s="46"/>
      <c r="K86" s="46"/>
      <c r="L86" s="46"/>
      <c r="M86" s="46"/>
    </row>
    <row r="87" spans="2:14">
      <c r="B87" s="41"/>
      <c r="C87" s="41"/>
      <c r="D87" s="46"/>
      <c r="F87" s="41"/>
      <c r="G87" s="41"/>
      <c r="H87" s="46"/>
      <c r="I87" s="46"/>
      <c r="J87" s="46"/>
      <c r="K87" s="46"/>
      <c r="L87" s="46"/>
      <c r="M87" s="46"/>
    </row>
    <row r="88" spans="2:14">
      <c r="B88" s="41"/>
      <c r="C88" s="41"/>
      <c r="D88" s="41"/>
      <c r="E88" s="41"/>
      <c r="F88" s="41"/>
      <c r="G88" s="41"/>
      <c r="H88" s="41"/>
      <c r="I88" s="41"/>
      <c r="J88" s="41"/>
      <c r="K88" s="54"/>
      <c r="L88" s="54"/>
      <c r="M88" s="54"/>
      <c r="N88" s="85"/>
    </row>
    <row r="89" spans="2:14">
      <c r="B89" s="41"/>
      <c r="C89" s="41"/>
      <c r="D89" s="41"/>
      <c r="E89" s="41"/>
      <c r="F89" s="41"/>
      <c r="G89" s="41"/>
      <c r="H89" s="41"/>
      <c r="I89" s="41"/>
      <c r="J89" s="41"/>
      <c r="K89" s="54"/>
      <c r="L89" s="54"/>
      <c r="M89" s="54"/>
      <c r="N89" s="85"/>
    </row>
    <row r="90" spans="2:14">
      <c r="B90" s="41"/>
      <c r="C90" s="41"/>
      <c r="D90" s="41"/>
      <c r="E90" s="41"/>
      <c r="F90" s="41"/>
      <c r="G90" s="41"/>
      <c r="H90" s="41"/>
      <c r="I90" s="41"/>
      <c r="J90" s="41"/>
      <c r="K90" s="54"/>
      <c r="L90" s="54"/>
      <c r="M90" s="54"/>
      <c r="N90" s="85"/>
    </row>
    <row r="91" spans="2:14">
      <c r="B91" s="41"/>
      <c r="C91" s="41"/>
      <c r="D91" s="41"/>
      <c r="E91" s="41"/>
      <c r="F91" s="41"/>
      <c r="G91" s="41"/>
      <c r="H91" s="41"/>
      <c r="I91" s="41"/>
      <c r="J91" s="41"/>
      <c r="K91" s="54"/>
      <c r="L91" s="54"/>
      <c r="M91" s="54"/>
      <c r="N91" s="85"/>
    </row>
    <row r="92" spans="2:14">
      <c r="B92" s="41"/>
      <c r="C92" s="41"/>
      <c r="D92" s="41"/>
      <c r="E92" s="41"/>
      <c r="F92" s="41"/>
      <c r="G92" s="41"/>
      <c r="H92" s="41"/>
      <c r="I92" s="41"/>
      <c r="J92" s="41"/>
      <c r="K92" s="54"/>
      <c r="L92" s="54"/>
      <c r="M92" s="54"/>
      <c r="N92" s="85"/>
    </row>
    <row r="93" spans="2:14">
      <c r="B93" s="41"/>
      <c r="C93" s="41"/>
      <c r="D93" s="41"/>
      <c r="E93" s="41"/>
      <c r="F93" s="41"/>
      <c r="G93" s="41"/>
      <c r="H93" s="41"/>
      <c r="I93" s="41"/>
      <c r="J93" s="41"/>
      <c r="K93" s="54"/>
      <c r="L93" s="54"/>
      <c r="M93" s="54"/>
      <c r="N93" s="85"/>
    </row>
    <row r="94" spans="2:14">
      <c r="B94" s="41"/>
      <c r="C94" s="41"/>
      <c r="D94" s="41"/>
      <c r="E94" s="41"/>
      <c r="F94" s="41"/>
      <c r="G94" s="41"/>
      <c r="H94" s="41"/>
      <c r="I94" s="41"/>
      <c r="J94" s="41"/>
      <c r="K94" s="54"/>
      <c r="L94" s="54"/>
      <c r="M94" s="54"/>
      <c r="N94" s="85"/>
    </row>
    <row r="95" spans="2:14">
      <c r="B95" s="41"/>
      <c r="C95" s="41"/>
      <c r="D95" s="41"/>
      <c r="E95" s="41"/>
      <c r="F95" s="41"/>
      <c r="G95" s="41"/>
      <c r="H95" s="41"/>
      <c r="I95" s="41"/>
      <c r="J95" s="41"/>
      <c r="K95" s="54"/>
      <c r="L95" s="54"/>
      <c r="M95" s="54"/>
      <c r="N95" s="85"/>
    </row>
    <row r="96" spans="2:14">
      <c r="B96" s="41"/>
      <c r="C96" s="41"/>
      <c r="D96" s="41"/>
      <c r="E96" s="41"/>
      <c r="F96" s="41"/>
      <c r="G96" s="41"/>
      <c r="H96" s="41"/>
      <c r="I96" s="41"/>
      <c r="J96" s="41"/>
      <c r="K96" s="54"/>
      <c r="L96" s="54"/>
      <c r="M96" s="54"/>
      <c r="N96" s="85"/>
    </row>
    <row r="97" spans="2:14">
      <c r="C97" s="41"/>
      <c r="D97" s="41"/>
      <c r="E97" s="41"/>
      <c r="F97" s="41"/>
      <c r="G97" s="41"/>
      <c r="H97" s="41"/>
      <c r="I97" s="41"/>
      <c r="J97" s="41"/>
      <c r="K97" s="54"/>
      <c r="L97" s="54"/>
      <c r="M97" s="54"/>
      <c r="N97" s="85"/>
    </row>
    <row r="98" spans="2:14">
      <c r="B98" s="41"/>
      <c r="C98" s="52"/>
    </row>
    <row r="99" spans="2:14">
      <c r="B99" s="41"/>
    </row>
    <row r="100" spans="2:14">
      <c r="B100" s="51"/>
    </row>
    <row r="101" spans="2:14">
      <c r="B101" s="51"/>
      <c r="C101" s="329"/>
      <c r="D101" s="329"/>
      <c r="E101" s="329"/>
      <c r="F101" s="329"/>
      <c r="G101" s="329"/>
      <c r="H101" s="329"/>
      <c r="I101" s="329"/>
      <c r="J101" s="329"/>
      <c r="K101" s="329"/>
      <c r="L101" s="329"/>
      <c r="M101" s="329"/>
      <c r="N101" s="329"/>
    </row>
    <row r="102" spans="2:14">
      <c r="B102" s="51"/>
      <c r="C102" s="329"/>
      <c r="D102" s="329"/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</row>
    <row r="103" spans="2:14">
      <c r="B103" s="51"/>
      <c r="C103" s="52"/>
    </row>
    <row r="104" spans="2:14">
      <c r="B104" s="51"/>
      <c r="C104" s="52"/>
    </row>
    <row r="105" spans="2:14">
      <c r="B105" s="51"/>
      <c r="C105" s="52"/>
    </row>
    <row r="106" spans="2:14">
      <c r="B106" s="51"/>
      <c r="C106" s="52"/>
    </row>
    <row r="107" spans="2:14">
      <c r="B107" s="51"/>
      <c r="C107" s="52"/>
    </row>
    <row r="108" spans="2:14">
      <c r="B108" s="51"/>
      <c r="C108" s="52"/>
    </row>
    <row r="109" spans="2:14">
      <c r="B109" s="51"/>
      <c r="C109" s="52"/>
    </row>
    <row r="110" spans="2:14">
      <c r="B110" s="51"/>
      <c r="C110" s="52"/>
    </row>
    <row r="111" spans="2:14">
      <c r="B111" s="51"/>
      <c r="C111" s="52"/>
    </row>
    <row r="112" spans="2:14">
      <c r="B112" s="51"/>
      <c r="C112" s="52"/>
    </row>
    <row r="113" spans="2:3">
      <c r="B113" s="51"/>
      <c r="C113" s="52"/>
    </row>
    <row r="114" spans="2:3">
      <c r="B114" s="51"/>
      <c r="C114" s="52"/>
    </row>
    <row r="115" spans="2:3">
      <c r="B115" s="51"/>
      <c r="C115" s="52"/>
    </row>
    <row r="116" spans="2:3">
      <c r="C116" s="52"/>
    </row>
    <row r="117" spans="2:3">
      <c r="C117" s="52"/>
    </row>
    <row r="118" spans="2:3">
      <c r="C118" s="52"/>
    </row>
    <row r="119" spans="2:3">
      <c r="C119" s="52"/>
    </row>
  </sheetData>
  <mergeCells count="7">
    <mergeCell ref="C101:N101"/>
    <mergeCell ref="C102:N102"/>
    <mergeCell ref="R3:W3"/>
    <mergeCell ref="Y3:AD3"/>
    <mergeCell ref="AF3:AK3"/>
    <mergeCell ref="C23:M23"/>
    <mergeCell ref="C45:M45"/>
  </mergeCells>
  <pageMargins left="0.25" right="0.25" top="0.75" bottom="0.75" header="0.3" footer="0.3"/>
  <pageSetup paperSize="3" orientation="landscape" r:id="rId1"/>
  <headerFooter alignWithMargins="0"/>
  <rowBreaks count="2" manualBreakCount="2">
    <brk id="22" max="16383" man="1"/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1"/>
  <dimension ref="A1:AE98"/>
  <sheetViews>
    <sheetView workbookViewId="0"/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2.140625" style="42" bestFit="1" customWidth="1"/>
    <col min="7" max="7" width="9.5703125" style="42" bestFit="1" customWidth="1"/>
    <col min="8" max="8" width="8" style="42" bestFit="1" customWidth="1"/>
    <col min="9" max="9" width="12.28515625" style="42" bestFit="1" customWidth="1"/>
    <col min="10" max="10" width="9.7109375" style="42" customWidth="1"/>
    <col min="11" max="11" width="9.28515625" style="42" customWidth="1"/>
    <col min="12" max="12" width="7.42578125" style="42" customWidth="1"/>
    <col min="13" max="13" width="29.5703125" style="84" hidden="1" customWidth="1"/>
    <col min="14" max="14" width="6.5703125" style="85" hidden="1" customWidth="1"/>
    <col min="15" max="15" width="36.140625" style="68" hidden="1" customWidth="1"/>
    <col min="16" max="21" width="0" style="68" hidden="1" customWidth="1"/>
    <col min="22" max="22" width="9.140625" style="68" hidden="1" customWidth="1"/>
    <col min="23" max="23" width="9.140625" style="67" hidden="1" customWidth="1"/>
    <col min="24" max="24" width="9.140625" style="42"/>
    <col min="25" max="32" width="0" style="42" hidden="1" customWidth="1"/>
    <col min="33" max="16384" width="9.140625" style="42"/>
  </cols>
  <sheetData>
    <row r="1" spans="1:31" ht="18.75">
      <c r="A1" s="206" t="s">
        <v>140</v>
      </c>
      <c r="B1" s="207"/>
      <c r="C1" s="207"/>
      <c r="D1" s="207"/>
      <c r="E1" s="208"/>
      <c r="F1" s="162"/>
      <c r="G1" s="230"/>
      <c r="H1" s="162"/>
      <c r="I1" s="98"/>
      <c r="J1" s="98"/>
      <c r="K1" s="98"/>
      <c r="L1" s="98"/>
      <c r="Y1" s="42">
        <f>Y5*2</f>
        <v>109.2</v>
      </c>
    </row>
    <row r="2" spans="1:31" ht="27" thickBot="1">
      <c r="A2" s="210" t="s">
        <v>182</v>
      </c>
      <c r="B2" s="158"/>
      <c r="C2" s="158"/>
      <c r="D2" s="162"/>
      <c r="E2" s="162"/>
      <c r="G2" s="333" t="s">
        <v>80</v>
      </c>
      <c r="H2" s="333"/>
      <c r="I2" s="333"/>
      <c r="J2" s="333"/>
      <c r="K2" s="333"/>
      <c r="L2" s="333"/>
      <c r="M2" s="85"/>
      <c r="Z2" s="332" t="s">
        <v>198</v>
      </c>
      <c r="AA2" s="332"/>
      <c r="AB2" s="332"/>
      <c r="AC2" s="332"/>
      <c r="AD2" s="332"/>
      <c r="AE2" s="332"/>
    </row>
    <row r="3" spans="1:31" ht="30" customHeight="1" thickBot="1">
      <c r="A3" s="213" t="s">
        <v>137</v>
      </c>
      <c r="B3" s="214" t="s">
        <v>114</v>
      </c>
      <c r="C3" s="214" t="s">
        <v>138</v>
      </c>
      <c r="D3" s="215" t="s">
        <v>4</v>
      </c>
      <c r="E3" s="215" t="s">
        <v>5</v>
      </c>
      <c r="F3" s="215" t="s">
        <v>6</v>
      </c>
      <c r="G3" s="214" t="s">
        <v>7</v>
      </c>
      <c r="H3" s="214" t="s">
        <v>8</v>
      </c>
      <c r="I3" s="214" t="s">
        <v>9</v>
      </c>
      <c r="J3" s="214" t="s">
        <v>10</v>
      </c>
      <c r="K3" s="214" t="s">
        <v>11</v>
      </c>
      <c r="L3" s="216" t="s">
        <v>12</v>
      </c>
      <c r="M3" s="86"/>
      <c r="N3" s="86" t="s">
        <v>138</v>
      </c>
      <c r="O3" s="85" t="s">
        <v>4</v>
      </c>
      <c r="Z3" s="63" t="s">
        <v>7</v>
      </c>
      <c r="AA3" s="63" t="s">
        <v>8</v>
      </c>
      <c r="AB3" s="63" t="s">
        <v>9</v>
      </c>
      <c r="AC3" s="63" t="s">
        <v>10</v>
      </c>
      <c r="AD3" s="63" t="s">
        <v>11</v>
      </c>
      <c r="AE3" s="63" t="s">
        <v>12</v>
      </c>
    </row>
    <row r="4" spans="1:31" ht="18.75" customHeight="1">
      <c r="A4" s="217" t="s">
        <v>157</v>
      </c>
      <c r="B4" s="211" t="s">
        <v>115</v>
      </c>
      <c r="C4" s="211" t="s">
        <v>156</v>
      </c>
      <c r="D4" s="212" t="s">
        <v>84</v>
      </c>
      <c r="E4" s="209"/>
      <c r="F4" s="211" t="s">
        <v>17</v>
      </c>
      <c r="G4" s="223">
        <f>'April 1, 2019'!H4*1.015</f>
        <v>1702.2965925442663</v>
      </c>
      <c r="H4" s="224"/>
      <c r="I4" s="224"/>
      <c r="J4" s="224"/>
      <c r="K4" s="224"/>
      <c r="L4" s="225"/>
      <c r="M4" s="86" t="s">
        <v>143</v>
      </c>
      <c r="N4" s="85" t="s">
        <v>156</v>
      </c>
      <c r="O4" s="68" t="s">
        <v>84</v>
      </c>
      <c r="P4" s="87">
        <f>G4/80</f>
        <v>21.278707406803328</v>
      </c>
      <c r="Q4" s="87"/>
      <c r="R4" s="87"/>
      <c r="S4" s="87"/>
      <c r="T4" s="87"/>
      <c r="U4" s="87"/>
      <c r="Y4" s="42">
        <v>40</v>
      </c>
      <c r="Z4" s="112">
        <f>ROUND(G4/($Y4*2),4)</f>
        <v>21.278700000000001</v>
      </c>
      <c r="AA4" s="112"/>
      <c r="AB4" s="112"/>
      <c r="AC4" s="112"/>
      <c r="AD4" s="112"/>
      <c r="AE4" s="112"/>
    </row>
    <row r="5" spans="1:31" ht="18.75" customHeight="1">
      <c r="A5" s="218" t="s">
        <v>15</v>
      </c>
      <c r="B5" s="64" t="s">
        <v>115</v>
      </c>
      <c r="C5" s="64" t="s">
        <v>148</v>
      </c>
      <c r="D5" s="60" t="s">
        <v>16</v>
      </c>
      <c r="E5" s="60">
        <v>353</v>
      </c>
      <c r="F5" s="64" t="s">
        <v>17</v>
      </c>
      <c r="G5" s="226">
        <f>'April 1, 2019'!H5*1.015</f>
        <v>2431.8522750632378</v>
      </c>
      <c r="H5" s="226">
        <f>'April 1, 2019'!I5*1.015</f>
        <v>2529.1263660657664</v>
      </c>
      <c r="I5" s="226">
        <f>'April 1, 2019'!J5*1.015</f>
        <v>2630.2914207083977</v>
      </c>
      <c r="J5" s="226">
        <f>'April 1, 2019'!K5*1.015</f>
        <v>2735.5030775367336</v>
      </c>
      <c r="K5" s="226">
        <f>'April 1, 2019'!L5*1.015</f>
        <v>2844.9232006382035</v>
      </c>
      <c r="L5" s="227">
        <f>'April 1, 2019'!M5*1.015</f>
        <v>2958.7201286637319</v>
      </c>
      <c r="M5" s="84" t="s">
        <v>144</v>
      </c>
      <c r="N5" s="84" t="s">
        <v>148</v>
      </c>
      <c r="O5" s="68" t="s">
        <v>16</v>
      </c>
      <c r="P5" s="87">
        <f>G5/109.2</f>
        <v>22.269709478601079</v>
      </c>
      <c r="Q5" s="87">
        <f t="shared" ref="Q5:U5" si="0">H5/109.2</f>
        <v>23.160497857745113</v>
      </c>
      <c r="R5" s="87">
        <f t="shared" si="0"/>
        <v>24.086917772054925</v>
      </c>
      <c r="S5" s="87">
        <f t="shared" si="0"/>
        <v>25.050394482937119</v>
      </c>
      <c r="T5" s="87">
        <f t="shared" si="0"/>
        <v>26.052410262254611</v>
      </c>
      <c r="U5" s="87">
        <f t="shared" si="0"/>
        <v>27.094506672744796</v>
      </c>
      <c r="Y5" s="42">
        <v>54.6</v>
      </c>
      <c r="Z5" s="112">
        <f>ROUND(G5/($Y5*2),4)</f>
        <v>22.2697</v>
      </c>
      <c r="AA5" s="112">
        <f t="shared" ref="AA5:AE5" si="1">ROUND(H5/($Y5*2),4)</f>
        <v>23.160499999999999</v>
      </c>
      <c r="AB5" s="112">
        <f t="shared" si="1"/>
        <v>24.0869</v>
      </c>
      <c r="AC5" s="112">
        <f t="shared" si="1"/>
        <v>25.0504</v>
      </c>
      <c r="AD5" s="112">
        <f t="shared" si="1"/>
        <v>26.052399999999999</v>
      </c>
      <c r="AE5" s="112">
        <f t="shared" si="1"/>
        <v>27.0945</v>
      </c>
    </row>
    <row r="6" spans="1:31" ht="18.75" customHeight="1">
      <c r="A6" s="218" t="s">
        <v>19</v>
      </c>
      <c r="B6" s="64" t="s">
        <v>115</v>
      </c>
      <c r="C6" s="64" t="s">
        <v>149</v>
      </c>
      <c r="D6" s="60" t="s">
        <v>20</v>
      </c>
      <c r="E6" s="60">
        <v>353</v>
      </c>
      <c r="F6" s="64" t="s">
        <v>17</v>
      </c>
      <c r="G6" s="226">
        <f>'April 1, 2019'!H6*1.015</f>
        <v>2431.8522750632378</v>
      </c>
      <c r="H6" s="226">
        <f>'April 1, 2019'!I6*1.015</f>
        <v>2529.1263660657664</v>
      </c>
      <c r="I6" s="226">
        <f>'April 1, 2019'!J6*1.015</f>
        <v>2630.2914207083977</v>
      </c>
      <c r="J6" s="226">
        <f>'April 1, 2019'!K6*1.015</f>
        <v>2735.5030775367336</v>
      </c>
      <c r="K6" s="226">
        <f>'April 1, 2019'!L6*1.015</f>
        <v>2844.9232006382035</v>
      </c>
      <c r="L6" s="227">
        <f>'April 1, 2019'!M6*1.015</f>
        <v>2958.7201286637319</v>
      </c>
      <c r="M6" s="84" t="s">
        <v>143</v>
      </c>
      <c r="N6" s="84" t="s">
        <v>149</v>
      </c>
      <c r="O6" s="68" t="s">
        <v>20</v>
      </c>
      <c r="P6" s="87">
        <f t="shared" ref="P6:U6" si="2">G6/80</f>
        <v>30.398153438290471</v>
      </c>
      <c r="Q6" s="87">
        <f t="shared" si="2"/>
        <v>31.614079575822082</v>
      </c>
      <c r="R6" s="87">
        <f t="shared" si="2"/>
        <v>32.878642758854973</v>
      </c>
      <c r="S6" s="87">
        <f t="shared" si="2"/>
        <v>34.193788469209167</v>
      </c>
      <c r="T6" s="87">
        <f t="shared" si="2"/>
        <v>35.561540007977541</v>
      </c>
      <c r="U6" s="87">
        <f t="shared" si="2"/>
        <v>36.984001608296651</v>
      </c>
      <c r="Y6" s="42">
        <v>40</v>
      </c>
      <c r="Z6" s="112">
        <f>ROUND(G6/($Y6*2),4)</f>
        <v>30.398199999999999</v>
      </c>
      <c r="AA6" s="112">
        <f t="shared" ref="AA6:AA7" si="3">ROUND(H6/($Y6*2),4)</f>
        <v>31.614100000000001</v>
      </c>
      <c r="AB6" s="112">
        <f t="shared" ref="AB6:AB7" si="4">ROUND(I6/($Y6*2),4)</f>
        <v>32.878599999999999</v>
      </c>
      <c r="AC6" s="112">
        <f t="shared" ref="AC6:AC7" si="5">ROUND(J6/($Y6*2),4)</f>
        <v>34.193800000000003</v>
      </c>
      <c r="AD6" s="112">
        <f t="shared" ref="AD6:AD7" si="6">ROUND(K6/($Y6*2),4)</f>
        <v>35.561500000000002</v>
      </c>
      <c r="AE6" s="112">
        <f t="shared" ref="AE6:AE7" si="7">ROUND(L6/($Y6*2),4)</f>
        <v>36.984000000000002</v>
      </c>
    </row>
    <row r="7" spans="1:31" ht="18.75" customHeight="1">
      <c r="A7" s="218" t="s">
        <v>21</v>
      </c>
      <c r="B7" s="64" t="s">
        <v>115</v>
      </c>
      <c r="C7" s="64" t="s">
        <v>148</v>
      </c>
      <c r="D7" s="60" t="s">
        <v>22</v>
      </c>
      <c r="E7" s="60"/>
      <c r="F7" s="64" t="s">
        <v>17</v>
      </c>
      <c r="G7" s="226">
        <f>'April 1, 2019'!H7*1.015</f>
        <v>2431.8522750632378</v>
      </c>
      <c r="H7" s="226">
        <f>'April 1, 2019'!I7*1.015</f>
        <v>2529.1263660657664</v>
      </c>
      <c r="I7" s="226">
        <f>'April 1, 2019'!J7*1.015</f>
        <v>2630.2914207083977</v>
      </c>
      <c r="J7" s="226">
        <f>'April 1, 2019'!K7*1.015</f>
        <v>2735.5030775367336</v>
      </c>
      <c r="K7" s="226">
        <f>'April 1, 2019'!L7*1.015</f>
        <v>2844.9232006382035</v>
      </c>
      <c r="L7" s="227">
        <f>'April 1, 2019'!M7*1.015</f>
        <v>2958.7201286637319</v>
      </c>
      <c r="M7" s="84" t="s">
        <v>144</v>
      </c>
      <c r="N7" s="84" t="s">
        <v>148</v>
      </c>
      <c r="O7" s="68" t="s">
        <v>22</v>
      </c>
      <c r="P7" s="87">
        <f t="shared" ref="P7:U8" si="8">G7/109.2</f>
        <v>22.269709478601079</v>
      </c>
      <c r="Q7" s="87">
        <f t="shared" si="8"/>
        <v>23.160497857745113</v>
      </c>
      <c r="R7" s="87">
        <f t="shared" si="8"/>
        <v>24.086917772054925</v>
      </c>
      <c r="S7" s="87">
        <f t="shared" si="8"/>
        <v>25.050394482937119</v>
      </c>
      <c r="T7" s="87">
        <f t="shared" si="8"/>
        <v>26.052410262254611</v>
      </c>
      <c r="U7" s="87">
        <f t="shared" si="8"/>
        <v>27.094506672744796</v>
      </c>
      <c r="Y7" s="42">
        <v>54.6</v>
      </c>
      <c r="Z7" s="112">
        <f>ROUND(G7/($Y7*2),4)</f>
        <v>22.2697</v>
      </c>
      <c r="AA7" s="112">
        <f t="shared" si="3"/>
        <v>23.160499999999999</v>
      </c>
      <c r="AB7" s="112">
        <f t="shared" si="4"/>
        <v>24.0869</v>
      </c>
      <c r="AC7" s="112">
        <f t="shared" si="5"/>
        <v>25.0504</v>
      </c>
      <c r="AD7" s="112">
        <f t="shared" si="6"/>
        <v>26.052399999999999</v>
      </c>
      <c r="AE7" s="112">
        <f t="shared" si="7"/>
        <v>27.0945</v>
      </c>
    </row>
    <row r="8" spans="1:31" ht="18.75" customHeight="1">
      <c r="A8" s="218" t="s">
        <v>23</v>
      </c>
      <c r="B8" s="64" t="s">
        <v>115</v>
      </c>
      <c r="C8" s="64" t="s">
        <v>150</v>
      </c>
      <c r="D8" s="60" t="s">
        <v>24</v>
      </c>
      <c r="E8" s="60"/>
      <c r="F8" s="64" t="s">
        <v>17</v>
      </c>
      <c r="G8" s="226">
        <f>'April 1, 2019'!H8*1.015</f>
        <v>3014.5980905301353</v>
      </c>
      <c r="H8" s="226">
        <f>'April 1, 2019'!I8*1.015</f>
        <v>3132.9763726319648</v>
      </c>
      <c r="I8" s="226">
        <f>'April 1, 2019'!J8*1.015</f>
        <v>3323.3267065460773</v>
      </c>
      <c r="J8" s="226"/>
      <c r="K8" s="226"/>
      <c r="L8" s="227"/>
      <c r="M8" s="84" t="s">
        <v>144</v>
      </c>
      <c r="N8" s="84" t="s">
        <v>150</v>
      </c>
      <c r="O8" s="68" t="s">
        <v>24</v>
      </c>
      <c r="P8" s="87">
        <f t="shared" si="8"/>
        <v>27.606209620239333</v>
      </c>
      <c r="Q8" s="87">
        <f t="shared" si="8"/>
        <v>28.690259822637039</v>
      </c>
      <c r="R8" s="87">
        <f t="shared" si="8"/>
        <v>30.433394748590452</v>
      </c>
      <c r="S8" s="87">
        <f t="shared" si="8"/>
        <v>0</v>
      </c>
      <c r="T8" s="87">
        <f t="shared" si="8"/>
        <v>0</v>
      </c>
      <c r="U8" s="87"/>
      <c r="Y8" s="42">
        <v>54.6</v>
      </c>
      <c r="Z8" s="112">
        <f t="shared" ref="Z8:Z17" si="9">ROUND(G8/($Y8*2),4)</f>
        <v>27.606200000000001</v>
      </c>
      <c r="AA8" s="112">
        <f t="shared" ref="AA8:AA17" si="10">ROUND(H8/($Y8*2),4)</f>
        <v>28.690300000000001</v>
      </c>
      <c r="AB8" s="112">
        <f t="shared" ref="AB8:AB17" si="11">ROUND(I8/($Y8*2),4)</f>
        <v>30.433399999999999</v>
      </c>
      <c r="AC8" s="112"/>
      <c r="AD8" s="112"/>
      <c r="AE8" s="112"/>
    </row>
    <row r="9" spans="1:31" ht="18.75" customHeight="1">
      <c r="A9" s="218" t="s">
        <v>195</v>
      </c>
      <c r="B9" s="64" t="s">
        <v>115</v>
      </c>
      <c r="C9" s="64" t="s">
        <v>151</v>
      </c>
      <c r="D9" s="60" t="s">
        <v>26</v>
      </c>
      <c r="E9" s="60"/>
      <c r="F9" s="64" t="s">
        <v>17</v>
      </c>
      <c r="G9" s="226">
        <f>'April 1, 2019'!H9*1.015</f>
        <v>3014.5980905301353</v>
      </c>
      <c r="H9" s="226">
        <f>'April 1, 2019'!I9*1.015</f>
        <v>3132.9763726319648</v>
      </c>
      <c r="I9" s="226">
        <f>'April 1, 2019'!J9*1.015</f>
        <v>3323.3267065460773</v>
      </c>
      <c r="J9" s="226"/>
      <c r="K9" s="226"/>
      <c r="L9" s="227"/>
      <c r="M9" s="84" t="s">
        <v>143</v>
      </c>
      <c r="N9" s="84" t="s">
        <v>151</v>
      </c>
      <c r="O9" s="68" t="s">
        <v>26</v>
      </c>
      <c r="P9" s="87">
        <f t="shared" ref="P9:R9" si="12">G9/80</f>
        <v>37.682476131626693</v>
      </c>
      <c r="Q9" s="87">
        <f t="shared" si="12"/>
        <v>39.162204657899558</v>
      </c>
      <c r="R9" s="87">
        <f t="shared" si="12"/>
        <v>41.541583831825967</v>
      </c>
      <c r="S9" s="87"/>
      <c r="T9" s="87"/>
      <c r="U9" s="87"/>
      <c r="Y9" s="42">
        <v>40</v>
      </c>
      <c r="Z9" s="112">
        <f t="shared" si="9"/>
        <v>37.682499999999997</v>
      </c>
      <c r="AA9" s="112">
        <f t="shared" si="10"/>
        <v>39.162199999999999</v>
      </c>
      <c r="AB9" s="112">
        <f t="shared" si="11"/>
        <v>41.541600000000003</v>
      </c>
      <c r="AC9" s="112"/>
      <c r="AD9" s="112"/>
      <c r="AE9" s="112"/>
    </row>
    <row r="10" spans="1:31" ht="18.75" customHeight="1">
      <c r="A10" s="218" t="s">
        <v>27</v>
      </c>
      <c r="B10" s="64" t="s">
        <v>115</v>
      </c>
      <c r="C10" s="64" t="s">
        <v>150</v>
      </c>
      <c r="D10" s="60" t="s">
        <v>28</v>
      </c>
      <c r="E10" s="60"/>
      <c r="F10" s="64" t="s">
        <v>17</v>
      </c>
      <c r="G10" s="226">
        <f>'April 1, 2019'!H10*1.015</f>
        <v>3014.5980905301353</v>
      </c>
      <c r="H10" s="226">
        <f>'April 1, 2019'!I10*1.015</f>
        <v>3132.9763726319648</v>
      </c>
      <c r="I10" s="226">
        <f>'April 1, 2019'!J10*1.015</f>
        <v>3323.3267065460773</v>
      </c>
      <c r="J10" s="226"/>
      <c r="K10" s="226"/>
      <c r="L10" s="227"/>
      <c r="M10" s="84" t="s">
        <v>144</v>
      </c>
      <c r="N10" s="84" t="s">
        <v>150</v>
      </c>
      <c r="O10" s="68" t="s">
        <v>28</v>
      </c>
      <c r="P10" s="87">
        <f t="shared" ref="P10:R11" si="13">G10/109.2</f>
        <v>27.606209620239333</v>
      </c>
      <c r="Q10" s="87">
        <f t="shared" si="13"/>
        <v>28.690259822637039</v>
      </c>
      <c r="R10" s="87">
        <f t="shared" si="13"/>
        <v>30.433394748590452</v>
      </c>
      <c r="S10" s="87"/>
      <c r="T10" s="87"/>
      <c r="U10" s="87"/>
      <c r="Y10" s="42">
        <v>54.6</v>
      </c>
      <c r="Z10" s="112">
        <f t="shared" si="9"/>
        <v>27.606200000000001</v>
      </c>
      <c r="AA10" s="112">
        <f t="shared" si="10"/>
        <v>28.690300000000001</v>
      </c>
      <c r="AB10" s="112">
        <f t="shared" si="11"/>
        <v>30.433399999999999</v>
      </c>
      <c r="AC10" s="112"/>
      <c r="AD10" s="112"/>
      <c r="AE10" s="112"/>
    </row>
    <row r="11" spans="1:31" ht="18.75" customHeight="1">
      <c r="A11" s="218" t="s">
        <v>29</v>
      </c>
      <c r="B11" s="64" t="s">
        <v>115</v>
      </c>
      <c r="C11" s="64" t="s">
        <v>152</v>
      </c>
      <c r="D11" s="60" t="s">
        <v>30</v>
      </c>
      <c r="E11" s="60"/>
      <c r="F11" s="64" t="s">
        <v>17</v>
      </c>
      <c r="G11" s="226">
        <f>'April 1, 2019'!H11*1.015</f>
        <v>3417.0842496763516</v>
      </c>
      <c r="H11" s="226">
        <f>'April 1, 2019'!I11*1.015</f>
        <v>3552.5616169706659</v>
      </c>
      <c r="I11" s="226">
        <f>'April 1, 2019'!J11*1.015</f>
        <v>3770.0033997451128</v>
      </c>
      <c r="J11" s="226"/>
      <c r="K11" s="226"/>
      <c r="L11" s="227"/>
      <c r="M11" s="84" t="s">
        <v>144</v>
      </c>
      <c r="N11" s="84" t="s">
        <v>152</v>
      </c>
      <c r="O11" s="68" t="s">
        <v>30</v>
      </c>
      <c r="P11" s="87">
        <f t="shared" si="13"/>
        <v>31.291980308391498</v>
      </c>
      <c r="Q11" s="87">
        <f t="shared" si="13"/>
        <v>32.532615540024409</v>
      </c>
      <c r="R11" s="87">
        <f t="shared" si="13"/>
        <v>34.523840657006524</v>
      </c>
      <c r="S11" s="87"/>
      <c r="T11" s="87"/>
      <c r="U11" s="87"/>
      <c r="Y11" s="42">
        <v>54.6</v>
      </c>
      <c r="Z11" s="112">
        <f t="shared" si="9"/>
        <v>31.292000000000002</v>
      </c>
      <c r="AA11" s="112">
        <f t="shared" si="10"/>
        <v>32.532600000000002</v>
      </c>
      <c r="AB11" s="112">
        <f t="shared" si="11"/>
        <v>34.523800000000001</v>
      </c>
      <c r="AC11" s="112"/>
      <c r="AD11" s="112"/>
      <c r="AE11" s="112"/>
    </row>
    <row r="12" spans="1:31" ht="18.75" customHeight="1">
      <c r="A12" s="218" t="s">
        <v>31</v>
      </c>
      <c r="B12" s="64" t="s">
        <v>115</v>
      </c>
      <c r="C12" s="64" t="s">
        <v>153</v>
      </c>
      <c r="D12" s="60" t="s">
        <v>32</v>
      </c>
      <c r="E12" s="60"/>
      <c r="F12" s="64" t="s">
        <v>17</v>
      </c>
      <c r="G12" s="226">
        <f>'April 1, 2019'!H12*1.015</f>
        <v>3417.0842496763516</v>
      </c>
      <c r="H12" s="226">
        <f>'April 1, 2019'!I12*1.015</f>
        <v>3552.5616169706659</v>
      </c>
      <c r="I12" s="226">
        <f>'April 1, 2019'!J12*1.015</f>
        <v>3770.0033997451128</v>
      </c>
      <c r="J12" s="226"/>
      <c r="K12" s="226"/>
      <c r="L12" s="227"/>
      <c r="M12" s="84" t="s">
        <v>143</v>
      </c>
      <c r="N12" s="84" t="s">
        <v>153</v>
      </c>
      <c r="O12" s="68" t="s">
        <v>32</v>
      </c>
      <c r="P12" s="87">
        <f t="shared" ref="P12:R12" si="14">G12/80</f>
        <v>42.713553120954394</v>
      </c>
      <c r="Q12" s="87">
        <f t="shared" si="14"/>
        <v>44.407020212133325</v>
      </c>
      <c r="R12" s="87">
        <f t="shared" si="14"/>
        <v>47.125042496813911</v>
      </c>
      <c r="S12" s="87"/>
      <c r="T12" s="87"/>
      <c r="U12" s="87"/>
      <c r="Y12" s="42">
        <v>40</v>
      </c>
      <c r="Z12" s="112">
        <f t="shared" si="9"/>
        <v>42.7136</v>
      </c>
      <c r="AA12" s="112">
        <f t="shared" si="10"/>
        <v>44.406999999999996</v>
      </c>
      <c r="AB12" s="112">
        <f t="shared" si="11"/>
        <v>47.125</v>
      </c>
      <c r="AC12" s="112"/>
      <c r="AD12" s="112"/>
      <c r="AE12" s="112"/>
    </row>
    <row r="13" spans="1:31" ht="18.75" customHeight="1">
      <c r="A13" s="218" t="s">
        <v>33</v>
      </c>
      <c r="B13" s="64" t="s">
        <v>115</v>
      </c>
      <c r="C13" s="64" t="s">
        <v>152</v>
      </c>
      <c r="D13" s="60" t="s">
        <v>34</v>
      </c>
      <c r="E13" s="60"/>
      <c r="F13" s="64" t="s">
        <v>17</v>
      </c>
      <c r="G13" s="226">
        <f>'April 1, 2019'!H13*1.015</f>
        <v>3417.0842496763516</v>
      </c>
      <c r="H13" s="226">
        <f>'April 1, 2019'!I13*1.015</f>
        <v>3552.5616169706659</v>
      </c>
      <c r="I13" s="226">
        <f>'April 1, 2019'!J13*1.015</f>
        <v>3770.0033997451128</v>
      </c>
      <c r="J13" s="226"/>
      <c r="K13" s="226"/>
      <c r="L13" s="227"/>
      <c r="M13" s="84" t="s">
        <v>144</v>
      </c>
      <c r="N13" s="84" t="s">
        <v>152</v>
      </c>
      <c r="O13" s="68" t="s">
        <v>34</v>
      </c>
      <c r="P13" s="87">
        <f t="shared" ref="P13:R13" si="15">G13/109.2</f>
        <v>31.291980308391498</v>
      </c>
      <c r="Q13" s="87">
        <f t="shared" si="15"/>
        <v>32.532615540024409</v>
      </c>
      <c r="R13" s="87">
        <f t="shared" si="15"/>
        <v>34.523840657006524</v>
      </c>
      <c r="S13" s="87"/>
      <c r="T13" s="87"/>
      <c r="U13" s="87"/>
      <c r="Y13" s="42">
        <v>54.6</v>
      </c>
      <c r="Z13" s="112">
        <f t="shared" si="9"/>
        <v>31.292000000000002</v>
      </c>
      <c r="AA13" s="112">
        <f t="shared" si="10"/>
        <v>32.532600000000002</v>
      </c>
      <c r="AB13" s="112">
        <f t="shared" si="11"/>
        <v>34.523800000000001</v>
      </c>
      <c r="AC13" s="112"/>
      <c r="AD13" s="112"/>
      <c r="AE13" s="112"/>
    </row>
    <row r="14" spans="1:31" ht="18.75" customHeight="1">
      <c r="A14" s="218" t="s">
        <v>35</v>
      </c>
      <c r="B14" s="64" t="s">
        <v>115</v>
      </c>
      <c r="C14" s="64" t="s">
        <v>153</v>
      </c>
      <c r="D14" s="60" t="s">
        <v>36</v>
      </c>
      <c r="E14" s="60"/>
      <c r="F14" s="64" t="s">
        <v>17</v>
      </c>
      <c r="G14" s="226">
        <f>'April 1, 2019'!H14*1.015</f>
        <v>3417.0842496763516</v>
      </c>
      <c r="H14" s="226">
        <f>'April 1, 2019'!I14*1.015</f>
        <v>3552.5616169706659</v>
      </c>
      <c r="I14" s="226">
        <f>'April 1, 2019'!J14*1.015</f>
        <v>3770.0033997451128</v>
      </c>
      <c r="J14" s="226"/>
      <c r="K14" s="226"/>
      <c r="L14" s="227"/>
      <c r="M14" s="84" t="s">
        <v>143</v>
      </c>
      <c r="N14" s="84" t="s">
        <v>153</v>
      </c>
      <c r="O14" s="68" t="s">
        <v>36</v>
      </c>
      <c r="P14" s="87">
        <f>G14/80</f>
        <v>42.713553120954394</v>
      </c>
      <c r="Q14" s="87">
        <f t="shared" ref="Q14:R14" si="16">H14/80</f>
        <v>44.407020212133325</v>
      </c>
      <c r="R14" s="87">
        <f t="shared" si="16"/>
        <v>47.125042496813911</v>
      </c>
      <c r="S14" s="87"/>
      <c r="T14" s="87"/>
      <c r="U14" s="87"/>
      <c r="Y14" s="42">
        <v>40</v>
      </c>
      <c r="Z14" s="112">
        <f t="shared" si="9"/>
        <v>42.7136</v>
      </c>
      <c r="AA14" s="112">
        <f t="shared" si="10"/>
        <v>44.406999999999996</v>
      </c>
      <c r="AB14" s="112">
        <f t="shared" si="11"/>
        <v>47.125</v>
      </c>
      <c r="AC14" s="112"/>
      <c r="AD14" s="112"/>
      <c r="AE14" s="112"/>
    </row>
    <row r="15" spans="1:31" ht="18.75" customHeight="1">
      <c r="A15" s="218" t="s">
        <v>37</v>
      </c>
      <c r="B15" s="64" t="s">
        <v>115</v>
      </c>
      <c r="C15" s="64" t="s">
        <v>152</v>
      </c>
      <c r="D15" s="60" t="s">
        <v>38</v>
      </c>
      <c r="E15" s="60"/>
      <c r="F15" s="64" t="s">
        <v>17</v>
      </c>
      <c r="G15" s="226">
        <f>'April 1, 2019'!H15*1.015</f>
        <v>3417.0842496763516</v>
      </c>
      <c r="H15" s="226">
        <f>'April 1, 2019'!I15*1.015</f>
        <v>3552.5616169706659</v>
      </c>
      <c r="I15" s="226">
        <f>'April 1, 2019'!J15*1.015</f>
        <v>3770.0033997451128</v>
      </c>
      <c r="J15" s="226"/>
      <c r="K15" s="226"/>
      <c r="L15" s="227"/>
      <c r="M15" s="84" t="s">
        <v>144</v>
      </c>
      <c r="N15" s="84" t="s">
        <v>152</v>
      </c>
      <c r="O15" s="68" t="s">
        <v>38</v>
      </c>
      <c r="P15" s="87">
        <f t="shared" ref="P15:T17" si="17">G15/80</f>
        <v>42.713553120954394</v>
      </c>
      <c r="Q15" s="87">
        <f t="shared" si="17"/>
        <v>44.407020212133325</v>
      </c>
      <c r="R15" s="87">
        <f t="shared" si="17"/>
        <v>47.125042496813911</v>
      </c>
      <c r="S15" s="87"/>
      <c r="T15" s="87"/>
      <c r="U15" s="87"/>
      <c r="Y15" s="42">
        <v>54.6</v>
      </c>
      <c r="Z15" s="112">
        <f t="shared" si="9"/>
        <v>31.292000000000002</v>
      </c>
      <c r="AA15" s="112">
        <f t="shared" si="10"/>
        <v>32.532600000000002</v>
      </c>
      <c r="AB15" s="112">
        <f t="shared" si="11"/>
        <v>34.523800000000001</v>
      </c>
      <c r="AC15" s="112"/>
      <c r="AD15" s="112"/>
      <c r="AE15" s="112"/>
    </row>
    <row r="16" spans="1:31" ht="18.75" customHeight="1">
      <c r="A16" s="218" t="s">
        <v>41</v>
      </c>
      <c r="B16" s="64" t="s">
        <v>115</v>
      </c>
      <c r="C16" s="64" t="s">
        <v>154</v>
      </c>
      <c r="D16" s="66" t="s">
        <v>113</v>
      </c>
      <c r="E16" s="60"/>
      <c r="F16" s="64" t="s">
        <v>17</v>
      </c>
      <c r="G16" s="226">
        <f>'April 1, 2019'!H16*1.015</f>
        <v>3497.3184186564786</v>
      </c>
      <c r="H16" s="226">
        <f>'April 1, 2019'!I16*1.015</f>
        <v>3556.5075597073937</v>
      </c>
      <c r="I16" s="226">
        <f>'April 1, 2019'!J16*1.015</f>
        <v>3617.0120150038833</v>
      </c>
      <c r="J16" s="226">
        <f>'April 1, 2019'!K16*1.015</f>
        <v>3677.5164703003743</v>
      </c>
      <c r="K16" s="226">
        <f>'April 1, 2019'!L16*1.015</f>
        <v>3901.8537489424189</v>
      </c>
      <c r="L16" s="227"/>
      <c r="M16" s="84" t="s">
        <v>144</v>
      </c>
      <c r="N16" s="84" t="s">
        <v>154</v>
      </c>
      <c r="O16" s="88" t="s">
        <v>113</v>
      </c>
      <c r="P16" s="87">
        <f>G16/109.2</f>
        <v>32.026725445572147</v>
      </c>
      <c r="Q16" s="87">
        <f t="shared" ref="Q16:T16" si="18">H16/109.2</f>
        <v>32.568750546771007</v>
      </c>
      <c r="R16" s="87">
        <f t="shared" si="18"/>
        <v>33.122820650218713</v>
      </c>
      <c r="S16" s="87">
        <f t="shared" si="18"/>
        <v>33.676890753666427</v>
      </c>
      <c r="T16" s="87">
        <f t="shared" si="18"/>
        <v>35.731261437201638</v>
      </c>
      <c r="U16" s="87"/>
      <c r="Y16" s="42">
        <v>54.6</v>
      </c>
      <c r="Z16" s="112">
        <f t="shared" si="9"/>
        <v>32.026699999999998</v>
      </c>
      <c r="AA16" s="112">
        <f t="shared" si="10"/>
        <v>32.568800000000003</v>
      </c>
      <c r="AB16" s="112">
        <f t="shared" si="11"/>
        <v>33.122799999999998</v>
      </c>
      <c r="AC16" s="112">
        <f t="shared" ref="AC16:AC17" si="19">ROUND(J16/($Y16*2),4)</f>
        <v>33.676900000000003</v>
      </c>
      <c r="AD16" s="112">
        <f t="shared" ref="AD16:AD17" si="20">ROUND(K16/($Y16*2),4)</f>
        <v>35.731299999999997</v>
      </c>
      <c r="AE16" s="112"/>
    </row>
    <row r="17" spans="1:31" ht="18.75" customHeight="1" thickBot="1">
      <c r="A17" s="219" t="s">
        <v>39</v>
      </c>
      <c r="B17" s="220" t="s">
        <v>115</v>
      </c>
      <c r="C17" s="220" t="s">
        <v>155</v>
      </c>
      <c r="D17" s="221" t="s">
        <v>42</v>
      </c>
      <c r="E17" s="222"/>
      <c r="F17" s="220" t="s">
        <v>17</v>
      </c>
      <c r="G17" s="228">
        <f>'April 1, 2019'!H17*1.015</f>
        <v>3497.3184186564786</v>
      </c>
      <c r="H17" s="228">
        <f>'April 1, 2019'!I17*1.015</f>
        <v>3556.5075597073937</v>
      </c>
      <c r="I17" s="228">
        <f>'April 1, 2019'!J17*1.015</f>
        <v>3617.0120150038833</v>
      </c>
      <c r="J17" s="228">
        <f>'April 1, 2019'!K17*1.015</f>
        <v>3677.5164703003743</v>
      </c>
      <c r="K17" s="228">
        <f>'April 1, 2019'!L17*1.015</f>
        <v>3901.8537489424189</v>
      </c>
      <c r="L17" s="229"/>
      <c r="M17" s="84" t="s">
        <v>143</v>
      </c>
      <c r="N17" s="84" t="s">
        <v>155</v>
      </c>
      <c r="O17" s="68" t="s">
        <v>42</v>
      </c>
      <c r="P17" s="87">
        <f>G17/80</f>
        <v>43.716480233205985</v>
      </c>
      <c r="Q17" s="87">
        <f t="shared" si="17"/>
        <v>44.456344496342425</v>
      </c>
      <c r="R17" s="87">
        <f t="shared" si="17"/>
        <v>45.21265018754854</v>
      </c>
      <c r="S17" s="87">
        <f t="shared" si="17"/>
        <v>45.968955878754677</v>
      </c>
      <c r="T17" s="87">
        <f t="shared" si="17"/>
        <v>48.773171861780234</v>
      </c>
      <c r="U17" s="87"/>
      <c r="Y17" s="42">
        <v>40</v>
      </c>
      <c r="Z17" s="112">
        <f t="shared" si="9"/>
        <v>43.716500000000003</v>
      </c>
      <c r="AA17" s="112">
        <f t="shared" si="10"/>
        <v>44.456299999999999</v>
      </c>
      <c r="AB17" s="112">
        <f t="shared" si="11"/>
        <v>45.212699999999998</v>
      </c>
      <c r="AC17" s="112">
        <f t="shared" si="19"/>
        <v>45.969000000000001</v>
      </c>
      <c r="AD17" s="112">
        <f t="shared" si="20"/>
        <v>48.773200000000003</v>
      </c>
      <c r="AE17" s="112"/>
    </row>
    <row r="18" spans="1:31" ht="27.75" customHeight="1">
      <c r="A18" s="41" t="s">
        <v>107</v>
      </c>
      <c r="C18" s="178"/>
      <c r="G18" s="178"/>
      <c r="H18" s="178"/>
      <c r="I18" s="178"/>
      <c r="J18" s="178"/>
      <c r="K18" s="178"/>
      <c r="L18" s="178"/>
    </row>
    <row r="19" spans="1:31" ht="17.25" customHeight="1">
      <c r="A19" s="50" t="s">
        <v>50</v>
      </c>
      <c r="C19" s="178"/>
      <c r="G19" s="178"/>
      <c r="H19" s="178"/>
      <c r="I19" s="178"/>
      <c r="J19" s="178"/>
      <c r="K19" s="178"/>
      <c r="L19" s="178"/>
    </row>
    <row r="20" spans="1:31" ht="17.25" customHeight="1">
      <c r="A20" s="42" t="s">
        <v>51</v>
      </c>
      <c r="C20" s="178"/>
      <c r="G20" s="178"/>
      <c r="H20" s="178"/>
      <c r="I20" s="178"/>
      <c r="J20" s="178"/>
      <c r="K20" s="178"/>
      <c r="L20" s="178"/>
    </row>
    <row r="21" spans="1:31" ht="17.25" customHeight="1">
      <c r="A21" s="50" t="s">
        <v>52</v>
      </c>
      <c r="B21" s="178"/>
      <c r="C21" s="178"/>
    </row>
    <row r="22" spans="1:31" ht="17.25" customHeight="1">
      <c r="A22" s="50"/>
      <c r="B22" s="178"/>
      <c r="C22" s="178"/>
    </row>
    <row r="23" spans="1:31" ht="27.75" customHeight="1">
      <c r="A23" s="41" t="s">
        <v>136</v>
      </c>
      <c r="B23" s="42" t="s">
        <v>188</v>
      </c>
    </row>
    <row r="24" spans="1:31" ht="27.75" customHeight="1">
      <c r="A24" s="41"/>
      <c r="G24" s="74" t="s">
        <v>230</v>
      </c>
      <c r="H24" s="74" t="s">
        <v>231</v>
      </c>
      <c r="I24" s="67" t="s">
        <v>238</v>
      </c>
      <c r="J24" s="188"/>
      <c r="K24" s="188"/>
      <c r="L24" s="188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</row>
    <row r="25" spans="1:31" ht="17.25" customHeight="1">
      <c r="A25" s="49">
        <f>'April 1, 2019'!B25*1.015</f>
        <v>16.467839532398216</v>
      </c>
      <c r="B25" s="52" t="s">
        <v>161</v>
      </c>
      <c r="C25" s="52"/>
      <c r="D25" s="52"/>
      <c r="E25" s="52"/>
      <c r="F25" s="52"/>
      <c r="G25" s="179">
        <f>ROUND(A25/109.2,3)</f>
        <v>0.151</v>
      </c>
      <c r="H25" s="181">
        <f>ROUND(A25/80,3)</f>
        <v>0.20599999999999999</v>
      </c>
      <c r="I25" s="182">
        <v>0.20599999999999999</v>
      </c>
      <c r="J25" s="188"/>
      <c r="K25" s="188"/>
      <c r="L25" s="188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</row>
    <row r="26" spans="1:31" ht="17.25" customHeight="1">
      <c r="A26" s="49">
        <f>'April 1, 2019'!B26*1.015</f>
        <v>23.356347572094137</v>
      </c>
      <c r="B26" s="52" t="s">
        <v>162</v>
      </c>
      <c r="C26" s="52"/>
      <c r="D26" s="52"/>
      <c r="E26" s="52"/>
      <c r="F26" s="52"/>
      <c r="G26" s="179">
        <f t="shared" ref="G26:G44" si="21">ROUND(A26/109.2,3)</f>
        <v>0.214</v>
      </c>
      <c r="H26" s="181">
        <f t="shared" ref="H26:H44" si="22">ROUND(A26/80,3)</f>
        <v>0.29199999999999998</v>
      </c>
      <c r="I26" s="182">
        <v>0.29199999999999998</v>
      </c>
      <c r="J26" s="188"/>
      <c r="K26" s="188"/>
      <c r="L26" s="188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</row>
    <row r="27" spans="1:31" ht="17.25" customHeight="1">
      <c r="A27" s="49">
        <f>'April 1, 2019'!B27*1.015</f>
        <v>30.244855611790161</v>
      </c>
      <c r="B27" s="52" t="s">
        <v>163</v>
      </c>
      <c r="C27" s="177"/>
      <c r="D27" s="177"/>
      <c r="E27" s="177"/>
      <c r="F27" s="177"/>
      <c r="G27" s="179">
        <f t="shared" si="21"/>
        <v>0.27700000000000002</v>
      </c>
      <c r="H27" s="181">
        <f t="shared" si="22"/>
        <v>0.378</v>
      </c>
      <c r="I27" s="183">
        <v>0.378</v>
      </c>
      <c r="J27" s="188"/>
      <c r="K27" s="188"/>
      <c r="L27" s="188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</row>
    <row r="28" spans="1:31" ht="17.25" customHeight="1">
      <c r="A28" s="49">
        <f>'April 1, 2019'!B28*1.015</f>
        <v>37.133363651486185</v>
      </c>
      <c r="B28" s="52" t="s">
        <v>164</v>
      </c>
      <c r="C28" s="177"/>
      <c r="D28" s="177"/>
      <c r="E28" s="177"/>
      <c r="F28" s="177"/>
      <c r="G28" s="179">
        <f t="shared" si="21"/>
        <v>0.34</v>
      </c>
      <c r="H28" s="181">
        <f t="shared" si="22"/>
        <v>0.46400000000000002</v>
      </c>
      <c r="I28" s="183">
        <v>0.46400000000000002</v>
      </c>
      <c r="J28" s="188"/>
      <c r="K28" s="188"/>
      <c r="L28" s="188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</row>
    <row r="29" spans="1:31" ht="17.25" customHeight="1">
      <c r="A29" s="49">
        <f>'April 1, 2019'!B29*1.015</f>
        <v>44.021871691182113</v>
      </c>
      <c r="B29" s="52" t="s">
        <v>165</v>
      </c>
      <c r="C29" s="177"/>
      <c r="D29" s="177"/>
      <c r="E29" s="177"/>
      <c r="F29" s="177"/>
      <c r="G29" s="179">
        <f t="shared" si="21"/>
        <v>0.40300000000000002</v>
      </c>
      <c r="H29" s="181">
        <f t="shared" si="22"/>
        <v>0.55000000000000004</v>
      </c>
      <c r="I29" s="183">
        <v>0.55000000000000004</v>
      </c>
      <c r="J29" s="188"/>
      <c r="K29" s="188"/>
      <c r="L29" s="188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</row>
    <row r="30" spans="1:31" ht="17.25" customHeight="1">
      <c r="A30" s="49">
        <f>'April 1, 2019'!B30*1.015</f>
        <v>133.04776563389396</v>
      </c>
      <c r="B30" s="52" t="s">
        <v>166</v>
      </c>
      <c r="C30" s="177"/>
      <c r="D30" s="177"/>
      <c r="E30" s="177"/>
      <c r="F30" s="177"/>
      <c r="G30" s="179">
        <f t="shared" si="21"/>
        <v>1.218</v>
      </c>
      <c r="H30" s="181">
        <f t="shared" si="22"/>
        <v>1.663</v>
      </c>
      <c r="I30" s="183">
        <v>1.663</v>
      </c>
      <c r="J30" s="188"/>
      <c r="K30" s="188"/>
      <c r="L30" s="188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</row>
    <row r="31" spans="1:31" ht="17.25" customHeight="1">
      <c r="A31" s="49">
        <f>'April 1, 2019'!B31*1.015</f>
        <v>140.52825483325117</v>
      </c>
      <c r="B31" s="52" t="s">
        <v>167</v>
      </c>
      <c r="G31" s="179">
        <f t="shared" si="21"/>
        <v>1.2869999999999999</v>
      </c>
      <c r="H31" s="181">
        <f t="shared" si="22"/>
        <v>1.7569999999999999</v>
      </c>
      <c r="I31" s="184">
        <v>1.7569999999999999</v>
      </c>
      <c r="J31" s="188"/>
      <c r="K31" s="188"/>
      <c r="L31" s="188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</row>
    <row r="32" spans="1:31" ht="17.25" customHeight="1">
      <c r="A32" s="49">
        <f>'April 1, 2019'!B32*1.015</f>
        <v>147.99528991534319</v>
      </c>
      <c r="B32" s="52" t="s">
        <v>168</v>
      </c>
      <c r="G32" s="179">
        <f t="shared" si="21"/>
        <v>1.355</v>
      </c>
      <c r="H32" s="181">
        <f t="shared" si="22"/>
        <v>1.85</v>
      </c>
      <c r="I32" s="184">
        <v>1.85</v>
      </c>
      <c r="J32" s="188"/>
      <c r="K32" s="188"/>
      <c r="L32" s="188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</row>
    <row r="33" spans="1:25" ht="17.25" customHeight="1">
      <c r="A33" s="49">
        <f>'April 1, 2019'!B33*1.015</f>
        <v>193.577839209269</v>
      </c>
      <c r="B33" s="52" t="s">
        <v>169</v>
      </c>
      <c r="G33" s="179">
        <f t="shared" si="21"/>
        <v>1.7729999999999999</v>
      </c>
      <c r="H33" s="181">
        <f t="shared" si="22"/>
        <v>2.42</v>
      </c>
      <c r="I33" s="184">
        <v>2.42</v>
      </c>
      <c r="J33" s="188"/>
      <c r="K33" s="188"/>
      <c r="L33" s="188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</row>
    <row r="34" spans="1:25" ht="17.25" customHeight="1">
      <c r="A34" s="49">
        <f>'April 1, 2019'!B34*1.015</f>
        <v>201.04487429136103</v>
      </c>
      <c r="B34" s="52" t="s">
        <v>170</v>
      </c>
      <c r="G34" s="179">
        <f t="shared" si="21"/>
        <v>1.841</v>
      </c>
      <c r="H34" s="181">
        <f t="shared" si="22"/>
        <v>2.5129999999999999</v>
      </c>
      <c r="I34" s="184">
        <v>2.5129999999999999</v>
      </c>
      <c r="J34" s="188"/>
      <c r="K34" s="188"/>
      <c r="L34" s="188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</row>
    <row r="35" spans="1:25" ht="17.25" customHeight="1">
      <c r="A35" s="49">
        <f>'April 1, 2019'!B35*1.015</f>
        <v>208.52536349071823</v>
      </c>
      <c r="B35" s="52" t="s">
        <v>171</v>
      </c>
      <c r="G35" s="179">
        <f t="shared" si="21"/>
        <v>1.91</v>
      </c>
      <c r="H35" s="181">
        <f t="shared" si="22"/>
        <v>2.6070000000000002</v>
      </c>
      <c r="I35" s="184">
        <v>2.6070000000000002</v>
      </c>
      <c r="J35" s="188"/>
      <c r="K35" s="188"/>
      <c r="L35" s="188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</row>
    <row r="36" spans="1:25" ht="17.25" customHeight="1">
      <c r="A36" s="49">
        <f>'April 1, 2019'!B36*1.015</f>
        <v>216.00585269007649</v>
      </c>
      <c r="B36" s="52" t="s">
        <v>172</v>
      </c>
      <c r="G36" s="179">
        <f t="shared" si="21"/>
        <v>1.978</v>
      </c>
      <c r="H36" s="181">
        <f t="shared" si="22"/>
        <v>2.7</v>
      </c>
      <c r="I36" s="184">
        <v>2.7</v>
      </c>
      <c r="J36" s="188"/>
      <c r="K36" s="188"/>
      <c r="L36" s="188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1:25" ht="17.25" customHeight="1">
      <c r="A37" s="49">
        <f>'April 1, 2019'!B37*1.015</f>
        <v>237.20954149976518</v>
      </c>
      <c r="B37" s="52" t="s">
        <v>173</v>
      </c>
      <c r="G37" s="179">
        <f t="shared" si="21"/>
        <v>2.1720000000000002</v>
      </c>
      <c r="H37" s="181">
        <f t="shared" si="22"/>
        <v>2.9649999999999999</v>
      </c>
      <c r="I37" s="184">
        <v>2.9649999999999999</v>
      </c>
      <c r="J37" s="188"/>
      <c r="K37" s="188"/>
      <c r="L37" s="188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</row>
    <row r="38" spans="1:25" ht="17.25" customHeight="1">
      <c r="A38" s="49">
        <f>'April 1, 2019'!B38*1.015</f>
        <v>298.02215153770612</v>
      </c>
      <c r="B38" s="52" t="s">
        <v>174</v>
      </c>
      <c r="G38" s="179">
        <f t="shared" si="21"/>
        <v>2.7290000000000001</v>
      </c>
      <c r="H38" s="181">
        <f t="shared" si="22"/>
        <v>3.7250000000000001</v>
      </c>
      <c r="I38" s="184">
        <v>3.7250000000000001</v>
      </c>
      <c r="J38" s="188"/>
      <c r="K38" s="188"/>
      <c r="L38" s="188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1:25" ht="17.25" customHeight="1">
      <c r="A39" s="49">
        <f>'April 1, 2019'!B39*1.015</f>
        <v>305.50264073706336</v>
      </c>
      <c r="B39" s="52" t="s">
        <v>175</v>
      </c>
      <c r="G39" s="179">
        <f t="shared" si="21"/>
        <v>2.798</v>
      </c>
      <c r="H39" s="181">
        <f t="shared" si="22"/>
        <v>3.819</v>
      </c>
      <c r="I39" s="184">
        <v>4.3879999999999999</v>
      </c>
      <c r="J39" s="190"/>
      <c r="K39" s="190" t="s">
        <v>236</v>
      </c>
      <c r="L39" s="188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</row>
    <row r="40" spans="1:25" ht="17.25" customHeight="1">
      <c r="A40" s="49">
        <f>'April 1, 2019'!B40*1.015</f>
        <v>312.9831299364206</v>
      </c>
      <c r="B40" s="52" t="s">
        <v>176</v>
      </c>
      <c r="G40" s="179">
        <f t="shared" si="21"/>
        <v>2.8660000000000001</v>
      </c>
      <c r="H40" s="181">
        <f t="shared" si="22"/>
        <v>3.9119999999999999</v>
      </c>
      <c r="I40" s="184">
        <v>4.4820000000000002</v>
      </c>
      <c r="J40" s="190"/>
      <c r="K40" s="190" t="s">
        <v>237</v>
      </c>
      <c r="L40" s="188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</row>
    <row r="41" spans="1:25" ht="17.25" customHeight="1">
      <c r="A41" s="49">
        <f>'April 1, 2019'!B41*1.015</f>
        <v>320.4636191357788</v>
      </c>
      <c r="B41" s="52" t="s">
        <v>177</v>
      </c>
      <c r="G41" s="179">
        <f t="shared" si="21"/>
        <v>2.9350000000000001</v>
      </c>
      <c r="H41" s="181">
        <f t="shared" si="22"/>
        <v>4.0060000000000002</v>
      </c>
      <c r="I41" s="184">
        <v>4.5750000000000002</v>
      </c>
      <c r="J41" s="190"/>
      <c r="K41" s="190"/>
      <c r="L41" s="188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</row>
    <row r="42" spans="1:25" ht="17.25" customHeight="1">
      <c r="A42" s="49">
        <f>'April 1, 2019'!B42*1.015</f>
        <v>327.94410833513604</v>
      </c>
      <c r="B42" s="52" t="s">
        <v>178</v>
      </c>
      <c r="G42" s="179">
        <f t="shared" si="21"/>
        <v>3.0030000000000001</v>
      </c>
      <c r="H42" s="181">
        <f t="shared" si="22"/>
        <v>4.0990000000000002</v>
      </c>
      <c r="I42" s="184">
        <v>4.6689999999999996</v>
      </c>
      <c r="J42" s="190"/>
      <c r="K42" s="190"/>
      <c r="L42" s="188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</row>
    <row r="43" spans="1:25" ht="17.25" customHeight="1">
      <c r="A43" s="49">
        <f>'April 1, 2019'!B43*1.015</f>
        <v>358.2696886505164</v>
      </c>
      <c r="B43" s="52" t="s">
        <v>179</v>
      </c>
      <c r="G43" s="179">
        <f t="shared" si="21"/>
        <v>3.2810000000000001</v>
      </c>
      <c r="H43" s="181">
        <f t="shared" si="22"/>
        <v>4.4779999999999998</v>
      </c>
      <c r="I43" s="184">
        <v>5.048</v>
      </c>
      <c r="J43" s="190"/>
      <c r="K43" s="190"/>
      <c r="L43" s="188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</row>
    <row r="44" spans="1:25" ht="17.25" customHeight="1">
      <c r="A44" s="49">
        <f>'April 1, 2019'!B44*1.015</f>
        <v>462.52697399999994</v>
      </c>
      <c r="B44" s="52" t="s">
        <v>192</v>
      </c>
      <c r="G44" s="179">
        <f t="shared" si="21"/>
        <v>4.2359999999999998</v>
      </c>
      <c r="H44" s="181">
        <f t="shared" si="22"/>
        <v>5.782</v>
      </c>
      <c r="I44" s="184">
        <v>5.782</v>
      </c>
      <c r="J44" s="188"/>
      <c r="K44" s="188"/>
      <c r="L44" s="188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</row>
    <row r="45" spans="1:25" ht="27.75" customHeight="1">
      <c r="A45" s="41" t="s">
        <v>136</v>
      </c>
      <c r="B45" s="42" t="s">
        <v>181</v>
      </c>
      <c r="G45" s="67"/>
      <c r="H45" s="67"/>
      <c r="I45" s="67"/>
      <c r="J45" s="188"/>
      <c r="K45" s="188"/>
      <c r="L45" s="188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</row>
    <row r="46" spans="1:25" ht="27.75" customHeight="1">
      <c r="A46" s="41"/>
      <c r="G46" s="74" t="s">
        <v>232</v>
      </c>
      <c r="H46" s="74" t="s">
        <v>233</v>
      </c>
      <c r="I46" s="185"/>
      <c r="J46" s="188"/>
      <c r="K46" s="188"/>
      <c r="L46" s="188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</row>
    <row r="47" spans="1:25" ht="17.25" customHeight="1">
      <c r="A47" s="49">
        <f>'April 1, 2019'!B47*1.015</f>
        <v>16.467839532398216</v>
      </c>
      <c r="B47" s="52" t="s">
        <v>161</v>
      </c>
      <c r="C47" s="52"/>
      <c r="D47" s="52"/>
      <c r="E47" s="52"/>
      <c r="F47" s="52"/>
      <c r="G47" s="181">
        <f>ROUND(A47/109.2,3)</f>
        <v>0.151</v>
      </c>
      <c r="H47" s="179">
        <f>ROUND(A47/80,3)</f>
        <v>0.20599999999999999</v>
      </c>
      <c r="I47" s="186"/>
      <c r="J47" s="188"/>
      <c r="K47" s="188"/>
      <c r="L47" s="188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</row>
    <row r="48" spans="1:25" ht="17.25" customHeight="1">
      <c r="A48" s="49">
        <f>'April 1, 2019'!B48*1.015</f>
        <v>23.356347572094137</v>
      </c>
      <c r="B48" s="52" t="s">
        <v>162</v>
      </c>
      <c r="C48" s="52"/>
      <c r="D48" s="52"/>
      <c r="E48" s="52"/>
      <c r="F48" s="52"/>
      <c r="G48" s="181">
        <f t="shared" ref="G48:G66" si="23">ROUND(A48/109.2,3)</f>
        <v>0.214</v>
      </c>
      <c r="H48" s="179">
        <f t="shared" ref="H48:H66" si="24">ROUND(A48/80,3)</f>
        <v>0.29199999999999998</v>
      </c>
      <c r="I48" s="186"/>
      <c r="J48" s="188"/>
      <c r="K48" s="188"/>
      <c r="L48" s="188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</row>
    <row r="49" spans="1:25" ht="17.25" customHeight="1">
      <c r="A49" s="49">
        <f>'April 1, 2019'!B49*1.015</f>
        <v>30.244855611790161</v>
      </c>
      <c r="B49" s="52" t="s">
        <v>163</v>
      </c>
      <c r="C49" s="177"/>
      <c r="D49" s="177"/>
      <c r="E49" s="177"/>
      <c r="F49" s="177"/>
      <c r="G49" s="181">
        <f t="shared" si="23"/>
        <v>0.27700000000000002</v>
      </c>
      <c r="H49" s="179">
        <f t="shared" si="24"/>
        <v>0.378</v>
      </c>
      <c r="I49" s="187"/>
      <c r="J49" s="188"/>
      <c r="K49" s="188"/>
      <c r="L49" s="188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</row>
    <row r="50" spans="1:25" ht="17.25" customHeight="1">
      <c r="A50" s="49">
        <f>'April 1, 2019'!B50*1.015</f>
        <v>37.133363651486185</v>
      </c>
      <c r="B50" s="52" t="s">
        <v>164</v>
      </c>
      <c r="C50" s="177"/>
      <c r="D50" s="177"/>
      <c r="E50" s="177"/>
      <c r="F50" s="177"/>
      <c r="G50" s="181">
        <f t="shared" si="23"/>
        <v>0.34</v>
      </c>
      <c r="H50" s="179">
        <f t="shared" si="24"/>
        <v>0.46400000000000002</v>
      </c>
      <c r="I50" s="187"/>
      <c r="J50" s="188"/>
      <c r="K50" s="188"/>
      <c r="L50" s="188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</row>
    <row r="51" spans="1:25" ht="17.25" customHeight="1">
      <c r="A51" s="49">
        <f>'April 1, 2019'!B51*1.015</f>
        <v>44.021871691182113</v>
      </c>
      <c r="B51" s="52" t="s">
        <v>165</v>
      </c>
      <c r="C51" s="177"/>
      <c r="D51" s="177"/>
      <c r="E51" s="177"/>
      <c r="F51" s="177"/>
      <c r="G51" s="181">
        <f t="shared" si="23"/>
        <v>0.40300000000000002</v>
      </c>
      <c r="H51" s="179">
        <f t="shared" si="24"/>
        <v>0.55000000000000004</v>
      </c>
      <c r="I51" s="187"/>
      <c r="J51" s="188"/>
      <c r="K51" s="188"/>
      <c r="L51" s="188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</row>
    <row r="52" spans="1:25" ht="17.25" customHeight="1">
      <c r="A52" s="49">
        <f>'April 1, 2019'!B52*1.015</f>
        <v>133.04776563389396</v>
      </c>
      <c r="B52" s="52" t="s">
        <v>166</v>
      </c>
      <c r="C52" s="177"/>
      <c r="D52" s="177"/>
      <c r="E52" s="177"/>
      <c r="F52" s="177"/>
      <c r="G52" s="181">
        <f t="shared" si="23"/>
        <v>1.218</v>
      </c>
      <c r="H52" s="179">
        <f t="shared" si="24"/>
        <v>1.663</v>
      </c>
      <c r="I52" s="187"/>
      <c r="J52" s="188"/>
      <c r="K52" s="188"/>
      <c r="L52" s="188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</row>
    <row r="53" spans="1:25" ht="17.25" customHeight="1">
      <c r="A53" s="49">
        <f>'April 1, 2019'!B53*1.015</f>
        <v>140.52825483325117</v>
      </c>
      <c r="B53" s="52" t="s">
        <v>167</v>
      </c>
      <c r="G53" s="181">
        <f t="shared" si="23"/>
        <v>1.2869999999999999</v>
      </c>
      <c r="H53" s="179">
        <f t="shared" si="24"/>
        <v>1.7569999999999999</v>
      </c>
      <c r="I53" s="185"/>
      <c r="J53" s="188"/>
      <c r="K53" s="188"/>
      <c r="L53" s="188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</row>
    <row r="54" spans="1:25" ht="17.25" customHeight="1">
      <c r="A54" s="49">
        <f>'April 1, 2019'!B54*1.015</f>
        <v>147.99528991534319</v>
      </c>
      <c r="B54" s="52" t="s">
        <v>168</v>
      </c>
      <c r="G54" s="181">
        <f t="shared" si="23"/>
        <v>1.355</v>
      </c>
      <c r="H54" s="179">
        <f t="shared" si="24"/>
        <v>1.85</v>
      </c>
      <c r="I54" s="185"/>
      <c r="J54" s="188"/>
      <c r="K54" s="188"/>
      <c r="L54" s="188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</row>
    <row r="55" spans="1:25" ht="17.25" customHeight="1">
      <c r="A55" s="49">
        <f>'April 1, 2019'!B55*1.015</f>
        <v>193.577839209269</v>
      </c>
      <c r="B55" s="52" t="s">
        <v>169</v>
      </c>
      <c r="G55" s="181">
        <f t="shared" si="23"/>
        <v>1.7729999999999999</v>
      </c>
      <c r="H55" s="179">
        <f t="shared" si="24"/>
        <v>2.42</v>
      </c>
      <c r="I55" s="185"/>
      <c r="J55" s="188"/>
      <c r="K55" s="188"/>
      <c r="L55" s="188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</row>
    <row r="56" spans="1:25" ht="17.25" customHeight="1">
      <c r="A56" s="49">
        <f>'April 1, 2019'!B56*1.015</f>
        <v>201.04487429136103</v>
      </c>
      <c r="B56" s="52" t="s">
        <v>170</v>
      </c>
      <c r="G56" s="181">
        <f t="shared" si="23"/>
        <v>1.841</v>
      </c>
      <c r="H56" s="179">
        <f t="shared" si="24"/>
        <v>2.5129999999999999</v>
      </c>
      <c r="I56" s="185"/>
      <c r="J56" s="188"/>
      <c r="K56" s="188"/>
      <c r="L56" s="188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</row>
    <row r="57" spans="1:25" ht="17.25" customHeight="1">
      <c r="A57" s="49">
        <f>'April 1, 2019'!B57*1.015</f>
        <v>208.52536349071823</v>
      </c>
      <c r="B57" s="52" t="s">
        <v>171</v>
      </c>
      <c r="G57" s="181">
        <f t="shared" si="23"/>
        <v>1.91</v>
      </c>
      <c r="H57" s="179">
        <f t="shared" si="24"/>
        <v>2.6070000000000002</v>
      </c>
      <c r="I57" s="185"/>
      <c r="J57" s="188"/>
      <c r="K57" s="188"/>
      <c r="L57" s="188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</row>
    <row r="58" spans="1:25" ht="17.25" customHeight="1">
      <c r="A58" s="49">
        <f>'April 1, 2019'!B58*1.015</f>
        <v>216.00585269007649</v>
      </c>
      <c r="B58" s="52" t="s">
        <v>172</v>
      </c>
      <c r="G58" s="181">
        <f t="shared" si="23"/>
        <v>1.978</v>
      </c>
      <c r="H58" s="179">
        <f t="shared" si="24"/>
        <v>2.7</v>
      </c>
      <c r="I58" s="185"/>
      <c r="J58" s="188"/>
      <c r="K58" s="188"/>
      <c r="L58" s="188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</row>
    <row r="59" spans="1:25" ht="17.25" customHeight="1">
      <c r="A59" s="49">
        <f>'April 1, 2019'!B59*1.015</f>
        <v>237.20954149976518</v>
      </c>
      <c r="B59" s="52" t="s">
        <v>173</v>
      </c>
      <c r="G59" s="181">
        <f t="shared" si="23"/>
        <v>2.1720000000000002</v>
      </c>
      <c r="H59" s="179">
        <f t="shared" si="24"/>
        <v>2.9649999999999999</v>
      </c>
      <c r="I59" s="185"/>
      <c r="J59" s="188"/>
      <c r="K59" s="188"/>
      <c r="L59" s="188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</row>
    <row r="60" spans="1:25" ht="17.25" customHeight="1">
      <c r="A60" s="49">
        <f>'April 1, 2019'!B60*1.015</f>
        <v>298.02215153770612</v>
      </c>
      <c r="B60" s="52" t="s">
        <v>174</v>
      </c>
      <c r="G60" s="181">
        <f t="shared" si="23"/>
        <v>2.7290000000000001</v>
      </c>
      <c r="H60" s="179">
        <f t="shared" si="24"/>
        <v>3.7250000000000001</v>
      </c>
      <c r="I60" s="185"/>
      <c r="J60" s="188"/>
      <c r="K60" s="188"/>
      <c r="L60" s="188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</row>
    <row r="61" spans="1:25" ht="17.25" customHeight="1">
      <c r="A61" s="49">
        <f>'April 1, 2019'!B61*1.015</f>
        <v>351.06066198706361</v>
      </c>
      <c r="B61" s="52" t="s">
        <v>175</v>
      </c>
      <c r="G61" s="181">
        <f t="shared" si="23"/>
        <v>3.2149999999999999</v>
      </c>
      <c r="H61" s="179">
        <f t="shared" si="24"/>
        <v>4.3879999999999999</v>
      </c>
      <c r="I61" s="185"/>
      <c r="J61" s="188"/>
      <c r="K61" s="188"/>
      <c r="L61" s="188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</row>
    <row r="62" spans="1:25" ht="17.25" customHeight="1">
      <c r="A62" s="49">
        <f>'April 1, 2019'!B62*1.015</f>
        <v>358.54115118642096</v>
      </c>
      <c r="B62" s="52" t="s">
        <v>176</v>
      </c>
      <c r="G62" s="181">
        <f t="shared" si="23"/>
        <v>3.2829999999999999</v>
      </c>
      <c r="H62" s="179">
        <f t="shared" si="24"/>
        <v>4.4820000000000002</v>
      </c>
      <c r="I62" s="185"/>
      <c r="J62" s="188"/>
      <c r="K62" s="188"/>
      <c r="L62" s="188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</row>
    <row r="63" spans="1:25" ht="17.25" customHeight="1">
      <c r="A63" s="49">
        <f>'April 1, 2019'!B63*1.015</f>
        <v>366.02164038577837</v>
      </c>
      <c r="B63" s="52" t="s">
        <v>177</v>
      </c>
      <c r="G63" s="181">
        <f t="shared" si="23"/>
        <v>3.3519999999999999</v>
      </c>
      <c r="H63" s="179">
        <f t="shared" si="24"/>
        <v>4.5750000000000002</v>
      </c>
      <c r="I63" s="185"/>
      <c r="J63" s="188"/>
      <c r="K63" s="188"/>
      <c r="L63" s="188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</row>
    <row r="64" spans="1:25" ht="17.25" customHeight="1">
      <c r="A64" s="49">
        <f>'April 1, 2019'!B64*1.015</f>
        <v>373.50212958513583</v>
      </c>
      <c r="B64" s="52" t="s">
        <v>178</v>
      </c>
      <c r="G64" s="181">
        <f t="shared" si="23"/>
        <v>3.42</v>
      </c>
      <c r="H64" s="179">
        <f t="shared" si="24"/>
        <v>4.6689999999999996</v>
      </c>
      <c r="I64" s="185"/>
      <c r="J64" s="188"/>
      <c r="K64" s="188"/>
      <c r="L64" s="188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</row>
    <row r="65" spans="1:25" ht="17.25" customHeight="1">
      <c r="A65" s="49">
        <f>'April 1, 2019'!B65*1.015</f>
        <v>403.8277099005162</v>
      </c>
      <c r="B65" s="52" t="s">
        <v>179</v>
      </c>
      <c r="G65" s="181">
        <f t="shared" si="23"/>
        <v>3.698</v>
      </c>
      <c r="H65" s="179">
        <f t="shared" si="24"/>
        <v>5.048</v>
      </c>
      <c r="I65" s="185"/>
      <c r="J65" s="188"/>
      <c r="K65" s="188"/>
      <c r="L65" s="188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</row>
    <row r="66" spans="1:25" ht="17.25" customHeight="1">
      <c r="A66" s="49">
        <f>'April 1, 2019'!B66*1.015</f>
        <v>462.56728240051615</v>
      </c>
      <c r="B66" s="52" t="s">
        <v>180</v>
      </c>
      <c r="G66" s="181">
        <f t="shared" si="23"/>
        <v>4.2359999999999998</v>
      </c>
      <c r="H66" s="179">
        <f t="shared" si="24"/>
        <v>5.782</v>
      </c>
      <c r="I66" s="185"/>
      <c r="J66" s="188"/>
      <c r="K66" s="188"/>
      <c r="L66" s="188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</row>
    <row r="67" spans="1:25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85"/>
      <c r="O67" s="91"/>
    </row>
    <row r="68" spans="1:25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85"/>
      <c r="O68" s="91"/>
    </row>
    <row r="69" spans="1:25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85"/>
      <c r="O69" s="91"/>
    </row>
    <row r="70" spans="1:2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85"/>
      <c r="O70" s="91"/>
    </row>
    <row r="71" spans="1:2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85"/>
      <c r="O71" s="91"/>
    </row>
    <row r="72" spans="1:2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85"/>
      <c r="O72" s="91"/>
    </row>
    <row r="73" spans="1:2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85"/>
      <c r="O73" s="91"/>
    </row>
    <row r="74" spans="1:2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85"/>
      <c r="O74" s="91"/>
    </row>
    <row r="75" spans="1:2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85"/>
      <c r="O75" s="91"/>
    </row>
    <row r="76" spans="1:25"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85"/>
      <c r="O76" s="91"/>
    </row>
    <row r="77" spans="1:25">
      <c r="A77" s="41"/>
      <c r="B77" s="52"/>
    </row>
    <row r="78" spans="1:25">
      <c r="A78" s="41"/>
    </row>
    <row r="79" spans="1:25">
      <c r="A79" s="51"/>
    </row>
    <row r="80" spans="1:25">
      <c r="A80" s="51"/>
      <c r="B80" s="329"/>
      <c r="C80" s="329"/>
      <c r="D80" s="329"/>
      <c r="E80" s="329"/>
      <c r="F80" s="329"/>
      <c r="G80" s="329"/>
      <c r="H80" s="329"/>
      <c r="I80" s="329"/>
      <c r="J80" s="329"/>
      <c r="K80" s="329"/>
      <c r="L80" s="329"/>
      <c r="M80" s="329"/>
    </row>
    <row r="81" spans="1:14">
      <c r="A81" s="51"/>
      <c r="B81" s="329"/>
      <c r="C81" s="329"/>
      <c r="D81" s="329"/>
      <c r="E81" s="329"/>
      <c r="F81" s="329"/>
      <c r="G81" s="329"/>
      <c r="H81" s="329"/>
      <c r="I81" s="329"/>
      <c r="J81" s="329"/>
      <c r="K81" s="329"/>
      <c r="L81" s="329"/>
      <c r="M81" s="329"/>
      <c r="N81" s="92"/>
    </row>
    <row r="82" spans="1:14">
      <c r="A82" s="51"/>
      <c r="B82" s="52"/>
      <c r="N82" s="92"/>
    </row>
    <row r="83" spans="1:14">
      <c r="A83" s="51"/>
      <c r="B83" s="52"/>
      <c r="N83" s="92"/>
    </row>
    <row r="84" spans="1:14">
      <c r="A84" s="51"/>
      <c r="B84" s="52"/>
      <c r="N84" s="92"/>
    </row>
    <row r="85" spans="1:14">
      <c r="A85" s="51"/>
      <c r="B85" s="52"/>
      <c r="N85" s="92"/>
    </row>
    <row r="86" spans="1:14">
      <c r="A86" s="51"/>
      <c r="B86" s="52"/>
      <c r="N86" s="92"/>
    </row>
    <row r="87" spans="1:14">
      <c r="A87" s="51"/>
      <c r="B87" s="52"/>
      <c r="N87" s="92"/>
    </row>
    <row r="88" spans="1:14">
      <c r="A88" s="51"/>
      <c r="B88" s="52"/>
      <c r="N88" s="92"/>
    </row>
    <row r="89" spans="1:14">
      <c r="A89" s="51"/>
      <c r="B89" s="52"/>
      <c r="N89" s="92"/>
    </row>
    <row r="90" spans="1:14">
      <c r="A90" s="51"/>
      <c r="B90" s="52"/>
      <c r="N90" s="92"/>
    </row>
    <row r="91" spans="1:14">
      <c r="A91" s="51"/>
      <c r="B91" s="52"/>
      <c r="N91" s="92"/>
    </row>
    <row r="92" spans="1:14">
      <c r="A92" s="51"/>
      <c r="B92" s="52"/>
      <c r="N92" s="92"/>
    </row>
    <row r="93" spans="1:14">
      <c r="A93" s="51"/>
      <c r="B93" s="52"/>
      <c r="N93" s="92"/>
    </row>
    <row r="94" spans="1:14">
      <c r="A94" s="51"/>
      <c r="B94" s="52"/>
      <c r="N94" s="92"/>
    </row>
    <row r="95" spans="1:14">
      <c r="B95" s="52"/>
      <c r="N95" s="92"/>
    </row>
    <row r="96" spans="1:14">
      <c r="B96" s="52"/>
      <c r="N96" s="92"/>
    </row>
    <row r="97" spans="2:2">
      <c r="B97" s="52"/>
    </row>
    <row r="98" spans="2:2">
      <c r="B98" s="52"/>
    </row>
  </sheetData>
  <sheetProtection sheet="1" objects="1" scenarios="1"/>
  <mergeCells count="4">
    <mergeCell ref="B80:M80"/>
    <mergeCell ref="B81:M81"/>
    <mergeCell ref="Z2:AE2"/>
    <mergeCell ref="G2:L2"/>
  </mergeCells>
  <phoneticPr fontId="3" type="noConversion"/>
  <pageMargins left="0.25" right="0.25" top="0.75" bottom="0.75" header="0.3" footer="0.3"/>
  <pageSetup orientation="landscape" r:id="rId1"/>
  <headerFooter alignWithMargins="0"/>
  <rowBreaks count="2" manualBreakCount="2">
    <brk id="22" max="16383" man="1"/>
    <brk id="51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2"/>
  <dimension ref="A1:V98"/>
  <sheetViews>
    <sheetView showGridLines="0" workbookViewId="0"/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26.85546875" style="42" bestFit="1" customWidth="1"/>
    <col min="5" max="5" width="11.140625" style="42" hidden="1" customWidth="1"/>
    <col min="6" max="6" width="2.140625" style="42" bestFit="1" customWidth="1"/>
    <col min="7" max="7" width="9.5703125" style="42" bestFit="1" customWidth="1"/>
    <col min="8" max="8" width="8" style="42" bestFit="1" customWidth="1"/>
    <col min="9" max="11" width="6.5703125" style="42" customWidth="1"/>
    <col min="12" max="12" width="11" style="42" bestFit="1" customWidth="1"/>
    <col min="13" max="13" width="11" style="42" customWidth="1"/>
    <col min="14" max="14" width="14.42578125" style="157" hidden="1" customWidth="1"/>
    <col min="15" max="15" width="11" style="158" hidden="1" customWidth="1"/>
    <col min="16" max="16" width="26.85546875" style="98" hidden="1" customWidth="1"/>
    <col min="17" max="22" width="11" style="98" hidden="1" customWidth="1"/>
    <col min="23" max="16384" width="9.140625" style="42"/>
  </cols>
  <sheetData>
    <row r="1" spans="1:22" ht="18.75">
      <c r="A1" s="206" t="s">
        <v>140</v>
      </c>
      <c r="B1" s="207"/>
      <c r="C1" s="207"/>
      <c r="D1" s="207"/>
      <c r="E1" s="208"/>
      <c r="F1" s="162"/>
      <c r="G1" s="230"/>
      <c r="H1" s="162"/>
      <c r="I1" s="98"/>
      <c r="J1" s="98"/>
      <c r="K1" s="98"/>
      <c r="L1" s="98"/>
      <c r="M1" s="98"/>
    </row>
    <row r="2" spans="1:22" ht="27" thickBot="1">
      <c r="A2" s="210" t="s">
        <v>184</v>
      </c>
      <c r="B2" s="158"/>
      <c r="C2" s="158"/>
      <c r="D2" s="162"/>
      <c r="E2" s="162"/>
      <c r="G2" s="333" t="s">
        <v>80</v>
      </c>
      <c r="H2" s="333"/>
      <c r="I2" s="333"/>
      <c r="J2" s="333"/>
      <c r="K2" s="333"/>
      <c r="L2" s="333"/>
      <c r="M2" s="162"/>
      <c r="N2" s="158"/>
      <c r="Q2" s="334" t="s">
        <v>198</v>
      </c>
      <c r="R2" s="334"/>
      <c r="S2" s="334"/>
      <c r="T2" s="334"/>
      <c r="U2" s="334"/>
      <c r="V2" s="334"/>
    </row>
    <row r="3" spans="1:22" ht="30" customHeight="1" thickBot="1">
      <c r="A3" s="213" t="s">
        <v>137</v>
      </c>
      <c r="B3" s="214" t="s">
        <v>114</v>
      </c>
      <c r="C3" s="214" t="s">
        <v>138</v>
      </c>
      <c r="D3" s="215" t="s">
        <v>4</v>
      </c>
      <c r="E3" s="215" t="s">
        <v>5</v>
      </c>
      <c r="F3" s="215" t="s">
        <v>6</v>
      </c>
      <c r="G3" s="214" t="s">
        <v>7</v>
      </c>
      <c r="H3" s="214" t="s">
        <v>8</v>
      </c>
      <c r="I3" s="214" t="s">
        <v>9</v>
      </c>
      <c r="J3" s="214" t="s">
        <v>10</v>
      </c>
      <c r="K3" s="214" t="s">
        <v>11</v>
      </c>
      <c r="L3" s="216" t="s">
        <v>12</v>
      </c>
      <c r="M3" s="159"/>
      <c r="N3" s="159"/>
      <c r="O3" s="63" t="s">
        <v>138</v>
      </c>
      <c r="P3" s="61" t="s">
        <v>4</v>
      </c>
      <c r="Q3" s="63" t="s">
        <v>7</v>
      </c>
      <c r="R3" s="63" t="s">
        <v>8</v>
      </c>
      <c r="S3" s="63" t="s">
        <v>9</v>
      </c>
      <c r="T3" s="63" t="s">
        <v>10</v>
      </c>
      <c r="U3" s="63" t="s">
        <v>11</v>
      </c>
      <c r="V3" s="63" t="s">
        <v>12</v>
      </c>
    </row>
    <row r="4" spans="1:22" ht="18.75" customHeight="1">
      <c r="A4" s="217" t="s">
        <v>157</v>
      </c>
      <c r="B4" s="211" t="s">
        <v>115</v>
      </c>
      <c r="C4" s="211" t="s">
        <v>156</v>
      </c>
      <c r="D4" s="212" t="s">
        <v>84</v>
      </c>
      <c r="E4" s="209"/>
      <c r="F4" s="211" t="s">
        <v>17</v>
      </c>
      <c r="G4" s="223">
        <f>VLOOKUP(A4,'January 1, 2020'!$A$3:$L$17,7,0)*1.0175</f>
        <v>1732.086782913791</v>
      </c>
      <c r="H4" s="224"/>
      <c r="I4" s="224"/>
      <c r="J4" s="224"/>
      <c r="K4" s="224"/>
      <c r="L4" s="225"/>
      <c r="M4" s="159"/>
      <c r="N4" s="164" t="s">
        <v>143</v>
      </c>
      <c r="O4" s="64" t="s">
        <v>156</v>
      </c>
      <c r="P4" s="60" t="s">
        <v>84</v>
      </c>
      <c r="Q4" s="166">
        <f>ROUND(G4/80,3)</f>
        <v>21.651</v>
      </c>
      <c r="R4" s="166"/>
      <c r="S4" s="166"/>
      <c r="T4" s="166"/>
      <c r="U4" s="166"/>
      <c r="V4" s="166"/>
    </row>
    <row r="5" spans="1:22" ht="18.75" customHeight="1">
      <c r="A5" s="218" t="s">
        <v>15</v>
      </c>
      <c r="B5" s="64" t="s">
        <v>115</v>
      </c>
      <c r="C5" s="64" t="s">
        <v>235</v>
      </c>
      <c r="D5" s="60" t="s">
        <v>16</v>
      </c>
      <c r="E5" s="60">
        <v>353</v>
      </c>
      <c r="F5" s="64" t="s">
        <v>17</v>
      </c>
      <c r="G5" s="226">
        <f>VLOOKUP($A5,'January 1, 2020'!$A$3:$L$17,7,0)*1.0175</f>
        <v>2474.4096898768448</v>
      </c>
      <c r="H5" s="226">
        <f>VLOOKUP($A5,'January 1, 2020'!$A$3:$L$17,8,0)*1.0175</f>
        <v>2573.3860774719174</v>
      </c>
      <c r="I5" s="226">
        <f>VLOOKUP($A5,'January 1, 2020'!$A$3:$L$17,9,0)*1.0175</f>
        <v>2676.3215205707947</v>
      </c>
      <c r="J5" s="226">
        <f>VLOOKUP($A5,'January 1, 2020'!$A$3:$L$17,10,0)*1.0175</f>
        <v>2783.3743813936267</v>
      </c>
      <c r="K5" s="226">
        <f>VLOOKUP($A5,'January 1, 2020'!$A$3:$L$17,11,0)*1.0175</f>
        <v>2894.7093566493722</v>
      </c>
      <c r="L5" s="227">
        <f>VLOOKUP($A5,'January 1, 2020'!$A$3:$L$17,12,0)*1.0175</f>
        <v>3010.4977309153473</v>
      </c>
      <c r="M5" s="165"/>
      <c r="N5" s="157" t="s">
        <v>144</v>
      </c>
      <c r="O5" s="64" t="s">
        <v>235</v>
      </c>
      <c r="P5" s="60" t="s">
        <v>16</v>
      </c>
      <c r="Q5" s="166">
        <f>ROUND(G5/109.2,3)</f>
        <v>22.658999999999999</v>
      </c>
      <c r="R5" s="166">
        <f>ROUND(H5/109.2,3)</f>
        <v>23.565999999999999</v>
      </c>
      <c r="S5" s="166">
        <f t="shared" ref="S5:V5" si="0">ROUND(I5/109.2,3)</f>
        <v>24.507999999999999</v>
      </c>
      <c r="T5" s="166">
        <f t="shared" si="0"/>
        <v>25.489000000000001</v>
      </c>
      <c r="U5" s="166">
        <f t="shared" si="0"/>
        <v>26.507999999999999</v>
      </c>
      <c r="V5" s="166">
        <f t="shared" si="0"/>
        <v>27.568999999999999</v>
      </c>
    </row>
    <row r="6" spans="1:22" ht="18.75" customHeight="1">
      <c r="A6" s="218" t="s">
        <v>19</v>
      </c>
      <c r="B6" s="64" t="s">
        <v>115</v>
      </c>
      <c r="C6" s="64" t="s">
        <v>234</v>
      </c>
      <c r="D6" s="60" t="s">
        <v>20</v>
      </c>
      <c r="E6" s="60">
        <v>353</v>
      </c>
      <c r="F6" s="64" t="s">
        <v>17</v>
      </c>
      <c r="G6" s="226">
        <f>VLOOKUP($A6,'January 1, 2020'!$A$3:$L$17,7,0)*1.0175</f>
        <v>2474.4096898768448</v>
      </c>
      <c r="H6" s="226">
        <f>VLOOKUP($A6,'January 1, 2020'!$A$3:$L$17,8,0)*1.0175</f>
        <v>2573.3860774719174</v>
      </c>
      <c r="I6" s="226">
        <f>VLOOKUP($A6,'January 1, 2020'!$A$3:$L$17,9,0)*1.0175</f>
        <v>2676.3215205707947</v>
      </c>
      <c r="J6" s="226">
        <f>VLOOKUP($A6,'January 1, 2020'!$A$3:$L$17,10,0)*1.0175</f>
        <v>2783.3743813936267</v>
      </c>
      <c r="K6" s="226">
        <f>VLOOKUP($A6,'January 1, 2020'!$A$3:$L$17,11,0)*1.0175</f>
        <v>2894.7093566493722</v>
      </c>
      <c r="L6" s="227">
        <f>VLOOKUP($A6,'January 1, 2020'!$A$3:$L$17,12,0)*1.0175</f>
        <v>3010.4977309153473</v>
      </c>
      <c r="M6" s="165"/>
      <c r="N6" s="157" t="s">
        <v>143</v>
      </c>
      <c r="O6" s="64" t="s">
        <v>234</v>
      </c>
      <c r="P6" s="60" t="s">
        <v>20</v>
      </c>
      <c r="Q6" s="166">
        <f>ROUND(G6/80,3)</f>
        <v>30.93</v>
      </c>
      <c r="R6" s="166">
        <f t="shared" ref="R6:V6" si="1">ROUND(H6/80,3)</f>
        <v>32.167000000000002</v>
      </c>
      <c r="S6" s="166">
        <f t="shared" si="1"/>
        <v>33.454000000000001</v>
      </c>
      <c r="T6" s="166">
        <f t="shared" si="1"/>
        <v>34.792000000000002</v>
      </c>
      <c r="U6" s="166">
        <f t="shared" si="1"/>
        <v>36.183999999999997</v>
      </c>
      <c r="V6" s="166">
        <f t="shared" si="1"/>
        <v>37.631</v>
      </c>
    </row>
    <row r="7" spans="1:22" ht="18.75" customHeight="1">
      <c r="A7" s="218" t="s">
        <v>21</v>
      </c>
      <c r="B7" s="64" t="s">
        <v>115</v>
      </c>
      <c r="C7" s="64" t="s">
        <v>148</v>
      </c>
      <c r="D7" s="60" t="s">
        <v>22</v>
      </c>
      <c r="E7" s="60"/>
      <c r="F7" s="64" t="s">
        <v>17</v>
      </c>
      <c r="G7" s="226">
        <f>VLOOKUP($A7,'January 1, 2020'!$A$3:$L$17,7,0)*1.0175</f>
        <v>2474.4096898768448</v>
      </c>
      <c r="H7" s="226">
        <f>VLOOKUP($A7,'January 1, 2020'!$A$3:$L$17,8,0)*1.0175</f>
        <v>2573.3860774719174</v>
      </c>
      <c r="I7" s="226">
        <f>VLOOKUP($A7,'January 1, 2020'!$A$3:$L$17,9,0)*1.0175</f>
        <v>2676.3215205707947</v>
      </c>
      <c r="J7" s="226">
        <f>VLOOKUP($A7,'January 1, 2020'!$A$3:$L$17,10,0)*1.0175</f>
        <v>2783.3743813936267</v>
      </c>
      <c r="K7" s="226">
        <f>VLOOKUP($A7,'January 1, 2020'!$A$3:$L$17,11,0)*1.0175</f>
        <v>2894.7093566493722</v>
      </c>
      <c r="L7" s="227">
        <f>VLOOKUP($A7,'January 1, 2020'!$A$3:$L$17,12,0)*1.0175</f>
        <v>3010.4977309153473</v>
      </c>
      <c r="M7" s="165"/>
      <c r="N7" s="157" t="s">
        <v>144</v>
      </c>
      <c r="O7" s="64" t="s">
        <v>148</v>
      </c>
      <c r="P7" s="60" t="s">
        <v>22</v>
      </c>
      <c r="Q7" s="166">
        <f t="shared" ref="Q7:V7" si="2">ROUND(G7/109.2,3)</f>
        <v>22.658999999999999</v>
      </c>
      <c r="R7" s="166">
        <f t="shared" si="2"/>
        <v>23.565999999999999</v>
      </c>
      <c r="S7" s="166">
        <f t="shared" si="2"/>
        <v>24.507999999999999</v>
      </c>
      <c r="T7" s="166">
        <f t="shared" si="2"/>
        <v>25.489000000000001</v>
      </c>
      <c r="U7" s="166">
        <f t="shared" si="2"/>
        <v>26.507999999999999</v>
      </c>
      <c r="V7" s="166">
        <f t="shared" si="2"/>
        <v>27.568999999999999</v>
      </c>
    </row>
    <row r="8" spans="1:22" ht="18.75" customHeight="1">
      <c r="A8" s="218" t="s">
        <v>23</v>
      </c>
      <c r="B8" s="64" t="s">
        <v>115</v>
      </c>
      <c r="C8" s="64" t="s">
        <v>150</v>
      </c>
      <c r="D8" s="60" t="s">
        <v>24</v>
      </c>
      <c r="E8" s="60"/>
      <c r="F8" s="64" t="s">
        <v>17</v>
      </c>
      <c r="G8" s="226">
        <f>VLOOKUP($A8,'January 1, 2020'!$A$3:$L$17,7,0)*1.0175</f>
        <v>3067.353557114413</v>
      </c>
      <c r="H8" s="226">
        <f>VLOOKUP($A8,'January 1, 2020'!$A$3:$L$17,8,0)*1.0175</f>
        <v>3187.8034591530245</v>
      </c>
      <c r="I8" s="226">
        <f>VLOOKUP($A8,'January 1, 2020'!$A$3:$L$17,9,0)*1.0175</f>
        <v>3381.4849239106338</v>
      </c>
      <c r="J8" s="226"/>
      <c r="K8" s="226"/>
      <c r="L8" s="227"/>
      <c r="M8" s="165"/>
      <c r="N8" s="157" t="s">
        <v>144</v>
      </c>
      <c r="O8" s="64" t="s">
        <v>150</v>
      </c>
      <c r="P8" s="60" t="s">
        <v>24</v>
      </c>
      <c r="Q8" s="166">
        <f>ROUND(G8/109.2,3)</f>
        <v>28.088999999999999</v>
      </c>
      <c r="R8" s="166">
        <f>ROUND(H8/109.2,3)</f>
        <v>29.192</v>
      </c>
      <c r="S8" s="166">
        <f>ROUND(I8/109.2,3)</f>
        <v>30.966000000000001</v>
      </c>
      <c r="T8" s="166"/>
      <c r="U8" s="166"/>
      <c r="V8" s="166"/>
    </row>
    <row r="9" spans="1:22" ht="18.75" customHeight="1">
      <c r="A9" s="218" t="s">
        <v>195</v>
      </c>
      <c r="B9" s="64" t="s">
        <v>115</v>
      </c>
      <c r="C9" s="64" t="s">
        <v>151</v>
      </c>
      <c r="D9" s="60" t="s">
        <v>26</v>
      </c>
      <c r="E9" s="60"/>
      <c r="F9" s="64" t="s">
        <v>17</v>
      </c>
      <c r="G9" s="226">
        <f>VLOOKUP($A9,'January 1, 2020'!$A$3:$L$17,7,0)*1.0175</f>
        <v>3067.353557114413</v>
      </c>
      <c r="H9" s="226">
        <f>VLOOKUP($A9,'January 1, 2020'!$A$3:$L$17,8,0)*1.0175</f>
        <v>3187.8034591530245</v>
      </c>
      <c r="I9" s="226">
        <f>VLOOKUP($A9,'January 1, 2020'!$A$3:$L$17,9,0)*1.0175</f>
        <v>3381.4849239106338</v>
      </c>
      <c r="J9" s="226"/>
      <c r="K9" s="226"/>
      <c r="L9" s="227"/>
      <c r="M9" s="165"/>
      <c r="N9" s="157" t="s">
        <v>143</v>
      </c>
      <c r="O9" s="64" t="s">
        <v>151</v>
      </c>
      <c r="P9" s="60" t="s">
        <v>26</v>
      </c>
      <c r="Q9" s="166">
        <f>ROUND(G9/80,3)</f>
        <v>38.341999999999999</v>
      </c>
      <c r="R9" s="166">
        <f>ROUND(H9/80,3)</f>
        <v>39.847999999999999</v>
      </c>
      <c r="S9" s="166">
        <f>I9/80</f>
        <v>42.268561548882921</v>
      </c>
      <c r="T9" s="166"/>
      <c r="U9" s="166"/>
      <c r="V9" s="166"/>
    </row>
    <row r="10" spans="1:22" ht="18.75" customHeight="1">
      <c r="A10" s="218" t="s">
        <v>27</v>
      </c>
      <c r="B10" s="64" t="s">
        <v>115</v>
      </c>
      <c r="C10" s="64" t="s">
        <v>150</v>
      </c>
      <c r="D10" s="60" t="s">
        <v>28</v>
      </c>
      <c r="E10" s="60"/>
      <c r="F10" s="64" t="s">
        <v>17</v>
      </c>
      <c r="G10" s="226">
        <f>VLOOKUP($A10,'January 1, 2020'!$A$3:$L$17,7,0)*1.0175</f>
        <v>3067.353557114413</v>
      </c>
      <c r="H10" s="226">
        <f>VLOOKUP($A10,'January 1, 2020'!$A$3:$L$17,8,0)*1.0175</f>
        <v>3187.8034591530245</v>
      </c>
      <c r="I10" s="226">
        <f>VLOOKUP($A10,'January 1, 2020'!$A$3:$L$17,9,0)*1.0175</f>
        <v>3381.4849239106338</v>
      </c>
      <c r="J10" s="226"/>
      <c r="K10" s="226"/>
      <c r="L10" s="227"/>
      <c r="M10" s="165"/>
      <c r="N10" s="157" t="s">
        <v>144</v>
      </c>
      <c r="O10" s="64" t="s">
        <v>150</v>
      </c>
      <c r="P10" s="60" t="s">
        <v>28</v>
      </c>
      <c r="Q10" s="166">
        <f>ROUND(G10/109.2,3)</f>
        <v>28.088999999999999</v>
      </c>
      <c r="R10" s="166">
        <f t="shared" ref="R10:S11" si="3">ROUND(H10/109.2,3)</f>
        <v>29.192</v>
      </c>
      <c r="S10" s="166">
        <f t="shared" si="3"/>
        <v>30.966000000000001</v>
      </c>
      <c r="T10" s="166"/>
      <c r="U10" s="166"/>
      <c r="V10" s="166"/>
    </row>
    <row r="11" spans="1:22" ht="18.75" customHeight="1">
      <c r="A11" s="218" t="s">
        <v>29</v>
      </c>
      <c r="B11" s="64" t="s">
        <v>115</v>
      </c>
      <c r="C11" s="64" t="s">
        <v>152</v>
      </c>
      <c r="D11" s="60" t="s">
        <v>30</v>
      </c>
      <c r="E11" s="60"/>
      <c r="F11" s="64" t="s">
        <v>17</v>
      </c>
      <c r="G11" s="226">
        <f>VLOOKUP($A11,'January 1, 2020'!$A$3:$L$17,7,0)*1.0175</f>
        <v>3476.8832240456882</v>
      </c>
      <c r="H11" s="226">
        <f>VLOOKUP($A11,'January 1, 2020'!$A$3:$L$17,8,0)*1.0175</f>
        <v>3614.7314452676528</v>
      </c>
      <c r="I11" s="226">
        <f>VLOOKUP($A11,'January 1, 2020'!$A$3:$L$17,9,0)*1.0175</f>
        <v>3835.9784592406527</v>
      </c>
      <c r="J11" s="226"/>
      <c r="K11" s="226"/>
      <c r="L11" s="227"/>
      <c r="M11" s="165"/>
      <c r="N11" s="157" t="s">
        <v>144</v>
      </c>
      <c r="O11" s="64" t="s">
        <v>152</v>
      </c>
      <c r="P11" s="60" t="s">
        <v>30</v>
      </c>
      <c r="Q11" s="166">
        <f>ROUND(G11/109.2,3)</f>
        <v>31.84</v>
      </c>
      <c r="R11" s="166">
        <f t="shared" si="3"/>
        <v>33.101999999999997</v>
      </c>
      <c r="S11" s="166">
        <f t="shared" si="3"/>
        <v>35.128</v>
      </c>
      <c r="T11" s="166"/>
      <c r="U11" s="166"/>
      <c r="V11" s="166"/>
    </row>
    <row r="12" spans="1:22" ht="18.75" customHeight="1">
      <c r="A12" s="218" t="s">
        <v>31</v>
      </c>
      <c r="B12" s="64" t="s">
        <v>115</v>
      </c>
      <c r="C12" s="64" t="s">
        <v>153</v>
      </c>
      <c r="D12" s="60" t="s">
        <v>32</v>
      </c>
      <c r="E12" s="60"/>
      <c r="F12" s="64" t="s">
        <v>17</v>
      </c>
      <c r="G12" s="226">
        <f>VLOOKUP($A12,'January 1, 2020'!$A$3:$L$17,7,0)*1.0175</f>
        <v>3476.8832240456882</v>
      </c>
      <c r="H12" s="226">
        <f>VLOOKUP($A12,'January 1, 2020'!$A$3:$L$17,8,0)*1.0175</f>
        <v>3614.7314452676528</v>
      </c>
      <c r="I12" s="226">
        <f>VLOOKUP($A12,'January 1, 2020'!$A$3:$L$17,9,0)*1.0175</f>
        <v>3835.9784592406527</v>
      </c>
      <c r="J12" s="226"/>
      <c r="K12" s="226"/>
      <c r="L12" s="227"/>
      <c r="M12" s="165"/>
      <c r="N12" s="157" t="s">
        <v>143</v>
      </c>
      <c r="O12" s="64" t="s">
        <v>153</v>
      </c>
      <c r="P12" s="60" t="s">
        <v>32</v>
      </c>
      <c r="Q12" s="166">
        <f>ROUND(G12/80,3)</f>
        <v>43.460999999999999</v>
      </c>
      <c r="R12" s="166">
        <f t="shared" ref="R12:S12" si="4">ROUND(H12/80,3)</f>
        <v>45.183999999999997</v>
      </c>
      <c r="S12" s="166">
        <f t="shared" si="4"/>
        <v>47.95</v>
      </c>
      <c r="T12" s="166"/>
      <c r="U12" s="166"/>
      <c r="V12" s="166"/>
    </row>
    <row r="13" spans="1:22" ht="18.75" customHeight="1">
      <c r="A13" s="218" t="s">
        <v>33</v>
      </c>
      <c r="B13" s="64" t="s">
        <v>115</v>
      </c>
      <c r="C13" s="64" t="s">
        <v>152</v>
      </c>
      <c r="D13" s="60" t="s">
        <v>34</v>
      </c>
      <c r="E13" s="60"/>
      <c r="F13" s="64" t="s">
        <v>17</v>
      </c>
      <c r="G13" s="226">
        <f>VLOOKUP($A13,'January 1, 2020'!$A$3:$L$17,7,0)*1.0175</f>
        <v>3476.8832240456882</v>
      </c>
      <c r="H13" s="226">
        <f>VLOOKUP($A13,'January 1, 2020'!$A$3:$L$17,8,0)*1.0175</f>
        <v>3614.7314452676528</v>
      </c>
      <c r="I13" s="226">
        <f>VLOOKUP($A13,'January 1, 2020'!$A$3:$L$17,9,0)*1.0175</f>
        <v>3835.9784592406527</v>
      </c>
      <c r="J13" s="226"/>
      <c r="K13" s="226"/>
      <c r="L13" s="227"/>
      <c r="M13" s="165"/>
      <c r="N13" s="157" t="s">
        <v>144</v>
      </c>
      <c r="O13" s="64" t="s">
        <v>152</v>
      </c>
      <c r="P13" s="60" t="s">
        <v>34</v>
      </c>
      <c r="Q13" s="166">
        <f>ROUND(G13/109.2,3)</f>
        <v>31.84</v>
      </c>
      <c r="R13" s="166">
        <f t="shared" ref="R13:S13" si="5">ROUND(H13/109.2,3)</f>
        <v>33.101999999999997</v>
      </c>
      <c r="S13" s="166">
        <f t="shared" si="5"/>
        <v>35.128</v>
      </c>
      <c r="T13" s="166"/>
      <c r="U13" s="166"/>
      <c r="V13" s="166"/>
    </row>
    <row r="14" spans="1:22" ht="18.75" customHeight="1">
      <c r="A14" s="218" t="s">
        <v>35</v>
      </c>
      <c r="B14" s="64" t="s">
        <v>115</v>
      </c>
      <c r="C14" s="64" t="s">
        <v>153</v>
      </c>
      <c r="D14" s="60" t="s">
        <v>36</v>
      </c>
      <c r="E14" s="60"/>
      <c r="F14" s="64" t="s">
        <v>17</v>
      </c>
      <c r="G14" s="226">
        <f>VLOOKUP($A14,'January 1, 2020'!$A$3:$L$17,7,0)*1.0175</f>
        <v>3476.8832240456882</v>
      </c>
      <c r="H14" s="226">
        <f>VLOOKUP($A14,'January 1, 2020'!$A$3:$L$17,8,0)*1.0175</f>
        <v>3614.7314452676528</v>
      </c>
      <c r="I14" s="226">
        <f>VLOOKUP($A14,'January 1, 2020'!$A$3:$L$17,9,0)*1.0175</f>
        <v>3835.9784592406527</v>
      </c>
      <c r="J14" s="226"/>
      <c r="K14" s="226"/>
      <c r="L14" s="227"/>
      <c r="M14" s="165"/>
      <c r="N14" s="157" t="s">
        <v>143</v>
      </c>
      <c r="O14" s="64" t="s">
        <v>153</v>
      </c>
      <c r="P14" s="60" t="s">
        <v>36</v>
      </c>
      <c r="Q14" s="166">
        <f>ROUND(G14/80,3)</f>
        <v>43.460999999999999</v>
      </c>
      <c r="R14" s="166">
        <f t="shared" ref="R14:S14" si="6">ROUND(H14/80,3)</f>
        <v>45.183999999999997</v>
      </c>
      <c r="S14" s="166">
        <f t="shared" si="6"/>
        <v>47.95</v>
      </c>
      <c r="T14" s="166"/>
      <c r="U14" s="166"/>
      <c r="V14" s="166"/>
    </row>
    <row r="15" spans="1:22" ht="18.75" customHeight="1">
      <c r="A15" s="218" t="s">
        <v>37</v>
      </c>
      <c r="B15" s="64" t="s">
        <v>115</v>
      </c>
      <c r="C15" s="64" t="s">
        <v>152</v>
      </c>
      <c r="D15" s="60" t="s">
        <v>38</v>
      </c>
      <c r="E15" s="60"/>
      <c r="F15" s="64" t="s">
        <v>17</v>
      </c>
      <c r="G15" s="226">
        <f>VLOOKUP($A15,'January 1, 2020'!$A$3:$L$17,7,0)*1.0175</f>
        <v>3476.8832240456882</v>
      </c>
      <c r="H15" s="226">
        <f>VLOOKUP($A15,'January 1, 2020'!$A$3:$L$17,8,0)*1.0175</f>
        <v>3614.7314452676528</v>
      </c>
      <c r="I15" s="226">
        <f>VLOOKUP($A15,'January 1, 2020'!$A$3:$L$17,9,0)*1.0175</f>
        <v>3835.9784592406527</v>
      </c>
      <c r="J15" s="226"/>
      <c r="K15" s="226"/>
      <c r="L15" s="227"/>
      <c r="M15" s="165"/>
      <c r="N15" s="157" t="s">
        <v>144</v>
      </c>
      <c r="O15" s="64" t="s">
        <v>152</v>
      </c>
      <c r="P15" s="60" t="s">
        <v>38</v>
      </c>
      <c r="Q15" s="166">
        <f>ROUND(G15/109.2,3)</f>
        <v>31.84</v>
      </c>
      <c r="R15" s="166">
        <f t="shared" ref="R15:S15" si="7">ROUND(H15/109.2,3)</f>
        <v>33.101999999999997</v>
      </c>
      <c r="S15" s="166">
        <f t="shared" si="7"/>
        <v>35.128</v>
      </c>
      <c r="T15" s="166"/>
      <c r="U15" s="166"/>
      <c r="V15" s="166"/>
    </row>
    <row r="16" spans="1:22" ht="18.75" customHeight="1">
      <c r="A16" s="218" t="s">
        <v>41</v>
      </c>
      <c r="B16" s="64" t="s">
        <v>115</v>
      </c>
      <c r="C16" s="64" t="s">
        <v>154</v>
      </c>
      <c r="D16" s="66" t="s">
        <v>113</v>
      </c>
      <c r="E16" s="60"/>
      <c r="F16" s="64" t="s">
        <v>17</v>
      </c>
      <c r="G16" s="226">
        <f>VLOOKUP($A16,'January 1, 2020'!$A$3:$L$17,7,0)*1.0175</f>
        <v>3558.5214909829674</v>
      </c>
      <c r="H16" s="226">
        <f>VLOOKUP($A16,'January 1, 2020'!$A$3:$L$17,8,0)*1.0175</f>
        <v>3618.7464420022734</v>
      </c>
      <c r="I16" s="226">
        <f>VLOOKUP($A16,'January 1, 2020'!$A$3:$L$17,9,0)*1.0175</f>
        <v>3680.3097252664516</v>
      </c>
      <c r="J16" s="226">
        <f>VLOOKUP($A16,'January 1, 2020'!$A$3:$L$17,10,0)*1.0175</f>
        <v>3741.8730085306311</v>
      </c>
      <c r="K16" s="226">
        <f>VLOOKUP($A16,'January 1, 2020'!$A$3:$L$17,11,0)*1.0175</f>
        <v>3970.1361895489113</v>
      </c>
      <c r="L16" s="227"/>
      <c r="M16" s="165"/>
      <c r="N16" s="157" t="s">
        <v>144</v>
      </c>
      <c r="O16" s="64" t="s">
        <v>154</v>
      </c>
      <c r="P16" s="66" t="s">
        <v>113</v>
      </c>
      <c r="Q16" s="166">
        <f>ROUND(G16/109.2,3)</f>
        <v>32.587000000000003</v>
      </c>
      <c r="R16" s="166">
        <f t="shared" ref="R16:U16" si="8">ROUND(H16/109.2,3)</f>
        <v>33.139000000000003</v>
      </c>
      <c r="S16" s="166">
        <f t="shared" si="8"/>
        <v>33.701999999999998</v>
      </c>
      <c r="T16" s="166">
        <f t="shared" si="8"/>
        <v>34.265999999999998</v>
      </c>
      <c r="U16" s="166">
        <f t="shared" si="8"/>
        <v>36.356999999999999</v>
      </c>
      <c r="V16" s="166"/>
    </row>
    <row r="17" spans="1:22" ht="18.75" customHeight="1" thickBot="1">
      <c r="A17" s="219" t="s">
        <v>39</v>
      </c>
      <c r="B17" s="220" t="s">
        <v>115</v>
      </c>
      <c r="C17" s="220" t="s">
        <v>155</v>
      </c>
      <c r="D17" s="221" t="s">
        <v>42</v>
      </c>
      <c r="E17" s="222"/>
      <c r="F17" s="220" t="s">
        <v>17</v>
      </c>
      <c r="G17" s="228">
        <f>VLOOKUP($A17,'January 1, 2020'!$A$3:$L$17,7,0)*1.0175</f>
        <v>3558.5214909829674</v>
      </c>
      <c r="H17" s="228">
        <f>VLOOKUP($A17,'January 1, 2020'!$A$3:$L$17,8,0)*1.0175</f>
        <v>3618.7464420022734</v>
      </c>
      <c r="I17" s="228">
        <f>VLOOKUP($A17,'January 1, 2020'!$A$3:$L$17,9,0)*1.0175</f>
        <v>3680.3097252664516</v>
      </c>
      <c r="J17" s="228">
        <f>VLOOKUP($A17,'January 1, 2020'!$A$3:$L$17,10,0)*1.0175</f>
        <v>3741.8730085306311</v>
      </c>
      <c r="K17" s="228">
        <f>VLOOKUP($A17,'January 1, 2020'!$A$3:$L$17,11,0)*1.0175</f>
        <v>3970.1361895489113</v>
      </c>
      <c r="L17" s="229"/>
      <c r="M17" s="165"/>
      <c r="N17" s="157" t="s">
        <v>143</v>
      </c>
      <c r="O17" s="64" t="s">
        <v>155</v>
      </c>
      <c r="P17" s="60" t="s">
        <v>42</v>
      </c>
      <c r="Q17" s="166">
        <f>ROUND(G17/80,3)</f>
        <v>44.481999999999999</v>
      </c>
      <c r="R17" s="166">
        <f t="shared" ref="R17:U17" si="9">ROUND(H17/80,3)</f>
        <v>45.234000000000002</v>
      </c>
      <c r="S17" s="166">
        <f t="shared" si="9"/>
        <v>46.003999999999998</v>
      </c>
      <c r="T17" s="166">
        <f t="shared" si="9"/>
        <v>46.773000000000003</v>
      </c>
      <c r="U17" s="166">
        <f t="shared" si="9"/>
        <v>49.627000000000002</v>
      </c>
      <c r="V17" s="166"/>
    </row>
    <row r="18" spans="1:22" s="98" customFormat="1" ht="27.75" customHeight="1">
      <c r="A18" s="41" t="s">
        <v>107</v>
      </c>
      <c r="B18" s="42"/>
      <c r="C18" s="178"/>
      <c r="D18" s="42"/>
      <c r="E18" s="42"/>
      <c r="F18" s="42"/>
      <c r="G18" s="178"/>
      <c r="H18" s="178"/>
      <c r="I18" s="178"/>
      <c r="J18" s="178"/>
      <c r="K18" s="178"/>
      <c r="L18" s="178"/>
      <c r="M18" s="178"/>
      <c r="N18" s="157"/>
      <c r="O18" s="158"/>
    </row>
    <row r="19" spans="1:22" s="98" customFormat="1" ht="17.25" customHeight="1">
      <c r="A19" s="50" t="s">
        <v>50</v>
      </c>
      <c r="B19" s="42"/>
      <c r="C19" s="178"/>
      <c r="D19" s="42"/>
      <c r="E19" s="42"/>
      <c r="F19" s="42"/>
      <c r="G19" s="178"/>
      <c r="H19" s="178"/>
      <c r="I19" s="178"/>
      <c r="J19" s="178"/>
      <c r="K19" s="178"/>
      <c r="L19" s="178"/>
      <c r="M19" s="178"/>
      <c r="N19" s="157"/>
      <c r="O19" s="158"/>
    </row>
    <row r="20" spans="1:22" s="98" customFormat="1" ht="17.25" customHeight="1">
      <c r="A20" s="42" t="s">
        <v>51</v>
      </c>
      <c r="B20" s="42"/>
      <c r="C20" s="178"/>
      <c r="D20" s="42"/>
      <c r="E20" s="42"/>
      <c r="F20" s="42"/>
      <c r="G20" s="178"/>
      <c r="H20" s="178"/>
      <c r="I20" s="178"/>
      <c r="J20" s="178"/>
      <c r="K20" s="178"/>
      <c r="L20" s="178"/>
      <c r="M20" s="178"/>
      <c r="N20" s="157"/>
      <c r="O20" s="158"/>
    </row>
    <row r="21" spans="1:22" s="98" customFormat="1" ht="17.25" customHeight="1">
      <c r="A21" s="50" t="s">
        <v>52</v>
      </c>
      <c r="B21" s="178"/>
      <c r="C21" s="178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157"/>
      <c r="O21" s="158"/>
    </row>
    <row r="22" spans="1:22" s="98" customFormat="1" ht="17.25" customHeight="1">
      <c r="A22" s="50"/>
      <c r="B22" s="178"/>
      <c r="C22" s="178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157"/>
      <c r="O22" s="158"/>
    </row>
    <row r="23" spans="1:22" ht="27.75" customHeight="1">
      <c r="A23" s="41" t="s">
        <v>136</v>
      </c>
      <c r="B23" s="42" t="s">
        <v>160</v>
      </c>
    </row>
    <row r="24" spans="1:22" ht="27.75" customHeight="1">
      <c r="A24" s="176">
        <v>16.756026724215186</v>
      </c>
      <c r="G24" s="74" t="s">
        <v>273</v>
      </c>
      <c r="H24" s="74" t="s">
        <v>274</v>
      </c>
    </row>
    <row r="25" spans="1:22" ht="17.25" customHeight="1">
      <c r="A25" s="49">
        <f>'January 1, 2020'!A25*1.0175</f>
        <v>16.756026724215186</v>
      </c>
      <c r="B25" s="52" t="s">
        <v>161</v>
      </c>
      <c r="C25" s="52"/>
      <c r="D25" s="52"/>
      <c r="E25" s="52"/>
      <c r="F25" s="52"/>
      <c r="G25" s="179">
        <f>ROUND(A25/109.2,3)</f>
        <v>0.153</v>
      </c>
      <c r="H25" s="180">
        <f>ROUND(A25/80,3)</f>
        <v>0.20899999999999999</v>
      </c>
      <c r="I25" s="52"/>
      <c r="J25" s="52"/>
      <c r="K25" s="52"/>
      <c r="L25" s="52"/>
      <c r="M25" s="52"/>
      <c r="N25" s="160"/>
    </row>
    <row r="26" spans="1:22" ht="17.25" customHeight="1">
      <c r="A26" s="49">
        <f>'January 1, 2020'!A26*1.0175</f>
        <v>23.765083654605785</v>
      </c>
      <c r="B26" s="52" t="s">
        <v>162</v>
      </c>
      <c r="C26" s="52"/>
      <c r="D26" s="52"/>
      <c r="E26" s="52"/>
      <c r="F26" s="52"/>
      <c r="G26" s="179">
        <f t="shared" ref="G26:G43" si="10">ROUND(A26/109.2,3)</f>
        <v>0.218</v>
      </c>
      <c r="H26" s="180">
        <f t="shared" ref="H26:H43" si="11">ROUND(A26/80,3)</f>
        <v>0.29699999999999999</v>
      </c>
      <c r="I26" s="52"/>
      <c r="J26" s="52"/>
      <c r="K26" s="52"/>
      <c r="L26" s="52"/>
      <c r="M26" s="52"/>
      <c r="N26" s="160"/>
      <c r="S26" s="161"/>
    </row>
    <row r="27" spans="1:22" ht="17.25" customHeight="1">
      <c r="A27" s="49">
        <f>'January 1, 2020'!A27*1.0175</f>
        <v>30.774140584996491</v>
      </c>
      <c r="B27" s="52" t="s">
        <v>163</v>
      </c>
      <c r="C27" s="177"/>
      <c r="D27" s="177"/>
      <c r="E27" s="177"/>
      <c r="F27" s="177"/>
      <c r="G27" s="179">
        <f t="shared" si="10"/>
        <v>0.28199999999999997</v>
      </c>
      <c r="H27" s="180">
        <f t="shared" si="11"/>
        <v>0.38500000000000001</v>
      </c>
      <c r="I27" s="177"/>
      <c r="J27" s="177"/>
      <c r="K27" s="177"/>
      <c r="L27" s="177"/>
      <c r="M27" s="177"/>
      <c r="N27" s="160"/>
      <c r="S27" s="161"/>
    </row>
    <row r="28" spans="1:22" ht="17.25" customHeight="1">
      <c r="A28" s="49">
        <f>'January 1, 2020'!A28*1.0175</f>
        <v>37.783197515387194</v>
      </c>
      <c r="B28" s="52" t="s">
        <v>164</v>
      </c>
      <c r="C28" s="177"/>
      <c r="D28" s="177"/>
      <c r="E28" s="177"/>
      <c r="F28" s="177"/>
      <c r="G28" s="179">
        <f t="shared" si="10"/>
        <v>0.34599999999999997</v>
      </c>
      <c r="H28" s="180">
        <f t="shared" si="11"/>
        <v>0.47199999999999998</v>
      </c>
      <c r="I28" s="177"/>
      <c r="J28" s="177"/>
      <c r="K28" s="177"/>
      <c r="L28" s="177"/>
      <c r="M28" s="177"/>
      <c r="N28" s="160"/>
      <c r="S28" s="161"/>
    </row>
    <row r="29" spans="1:22" ht="17.25" customHeight="1">
      <c r="A29" s="49">
        <f>'January 1, 2020'!A29*1.0175</f>
        <v>44.7922544457778</v>
      </c>
      <c r="B29" s="52" t="s">
        <v>165</v>
      </c>
      <c r="C29" s="177"/>
      <c r="D29" s="177"/>
      <c r="E29" s="177"/>
      <c r="F29" s="177"/>
      <c r="G29" s="179">
        <f t="shared" si="10"/>
        <v>0.41</v>
      </c>
      <c r="H29" s="180">
        <f t="shared" si="11"/>
        <v>0.56000000000000005</v>
      </c>
      <c r="I29" s="177"/>
      <c r="J29" s="177"/>
      <c r="K29" s="177"/>
      <c r="L29" s="177"/>
      <c r="M29" s="177"/>
      <c r="N29" s="160"/>
      <c r="S29" s="161"/>
    </row>
    <row r="30" spans="1:22" ht="17.25" customHeight="1">
      <c r="A30" s="49">
        <f>'January 1, 2020'!A30*1.0175</f>
        <v>135.37610153248713</v>
      </c>
      <c r="B30" s="52" t="s">
        <v>166</v>
      </c>
      <c r="C30" s="177"/>
      <c r="D30" s="177"/>
      <c r="E30" s="177"/>
      <c r="F30" s="177"/>
      <c r="G30" s="179">
        <f t="shared" si="10"/>
        <v>1.24</v>
      </c>
      <c r="H30" s="180">
        <f t="shared" si="11"/>
        <v>1.6919999999999999</v>
      </c>
      <c r="I30" s="177"/>
      <c r="J30" s="177"/>
      <c r="K30" s="177"/>
      <c r="L30" s="177"/>
      <c r="M30" s="177"/>
      <c r="N30" s="160"/>
      <c r="S30" s="161"/>
    </row>
    <row r="31" spans="1:22" ht="17.25" customHeight="1">
      <c r="A31" s="49">
        <f>'January 1, 2020'!A31*1.0175</f>
        <v>142.98749929283306</v>
      </c>
      <c r="B31" s="52" t="s">
        <v>167</v>
      </c>
      <c r="G31" s="179">
        <f t="shared" si="10"/>
        <v>1.3089999999999999</v>
      </c>
      <c r="H31" s="180">
        <f t="shared" si="11"/>
        <v>1.7869999999999999</v>
      </c>
      <c r="S31" s="161"/>
    </row>
    <row r="32" spans="1:22" ht="17.25" customHeight="1">
      <c r="A32" s="49">
        <f>'January 1, 2020'!A32*1.0175</f>
        <v>150.5852074888617</v>
      </c>
      <c r="B32" s="52" t="s">
        <v>168</v>
      </c>
      <c r="G32" s="179">
        <f t="shared" si="10"/>
        <v>1.379</v>
      </c>
      <c r="H32" s="180">
        <f t="shared" si="11"/>
        <v>1.8819999999999999</v>
      </c>
      <c r="S32" s="161"/>
    </row>
    <row r="33" spans="1:19" ht="17.25" customHeight="1">
      <c r="A33" s="49">
        <f>'January 1, 2020'!A33*1.0175</f>
        <v>196.96545139543122</v>
      </c>
      <c r="B33" s="52" t="s">
        <v>169</v>
      </c>
      <c r="G33" s="179">
        <f t="shared" si="10"/>
        <v>1.804</v>
      </c>
      <c r="H33" s="180">
        <f t="shared" si="11"/>
        <v>2.4620000000000002</v>
      </c>
      <c r="S33" s="161"/>
    </row>
    <row r="34" spans="1:19" ht="17.25" customHeight="1">
      <c r="A34" s="49">
        <f>'January 1, 2020'!A34*1.0175</f>
        <v>204.56315959145985</v>
      </c>
      <c r="B34" s="52" t="s">
        <v>170</v>
      </c>
      <c r="G34" s="179">
        <f t="shared" si="10"/>
        <v>1.873</v>
      </c>
      <c r="H34" s="180">
        <f t="shared" si="11"/>
        <v>2.5569999999999999</v>
      </c>
      <c r="S34" s="161"/>
    </row>
    <row r="35" spans="1:19" ht="17.25" customHeight="1">
      <c r="A35" s="49">
        <f>'January 1, 2020'!A35*1.0175</f>
        <v>212.17455735180582</v>
      </c>
      <c r="B35" s="52" t="s">
        <v>171</v>
      </c>
      <c r="G35" s="179">
        <f t="shared" si="10"/>
        <v>1.9430000000000001</v>
      </c>
      <c r="H35" s="180">
        <f t="shared" si="11"/>
        <v>2.6520000000000001</v>
      </c>
      <c r="S35" s="161"/>
    </row>
    <row r="36" spans="1:19" ht="17.25" customHeight="1">
      <c r="A36" s="49">
        <f>'January 1, 2020'!A36*1.0175</f>
        <v>219.78595511215286</v>
      </c>
      <c r="B36" s="52" t="s">
        <v>172</v>
      </c>
      <c r="G36" s="179">
        <f t="shared" si="10"/>
        <v>2.0129999999999999</v>
      </c>
      <c r="H36" s="180">
        <f t="shared" si="11"/>
        <v>2.7469999999999999</v>
      </c>
      <c r="S36" s="161"/>
    </row>
    <row r="37" spans="1:19" ht="17.25" customHeight="1">
      <c r="A37" s="49">
        <f>'January 1, 2020'!A37*1.0175</f>
        <v>241.3607084760111</v>
      </c>
      <c r="B37" s="52" t="s">
        <v>173</v>
      </c>
      <c r="G37" s="179">
        <f t="shared" si="10"/>
        <v>2.21</v>
      </c>
      <c r="H37" s="180">
        <f t="shared" si="11"/>
        <v>3.0169999999999999</v>
      </c>
      <c r="S37" s="161"/>
    </row>
    <row r="38" spans="1:19" ht="17.25" customHeight="1">
      <c r="A38" s="49">
        <f>'January 1, 2020'!A38*1.0175</f>
        <v>303.23753918961597</v>
      </c>
      <c r="B38" s="52" t="s">
        <v>174</v>
      </c>
      <c r="G38" s="179">
        <f t="shared" si="10"/>
        <v>2.7770000000000001</v>
      </c>
      <c r="H38" s="180">
        <f t="shared" si="11"/>
        <v>3.79</v>
      </c>
      <c r="S38" s="161"/>
    </row>
    <row r="39" spans="1:19" ht="17.25" customHeight="1">
      <c r="A39" s="49">
        <f>'January 1, 2020'!A39*1.0175</f>
        <v>310.84893694996197</v>
      </c>
      <c r="B39" s="52" t="s">
        <v>175</v>
      </c>
      <c r="G39" s="179">
        <f t="shared" si="10"/>
        <v>2.847</v>
      </c>
      <c r="H39" s="180">
        <f t="shared" si="11"/>
        <v>3.8860000000000001</v>
      </c>
      <c r="S39" s="161"/>
    </row>
    <row r="40" spans="1:19" ht="17.25" customHeight="1">
      <c r="A40" s="49">
        <f>'January 1, 2020'!A40*1.0175</f>
        <v>318.46033471030796</v>
      </c>
      <c r="B40" s="52" t="s">
        <v>176</v>
      </c>
      <c r="G40" s="179">
        <f t="shared" si="10"/>
        <v>2.9159999999999999</v>
      </c>
      <c r="H40" s="180">
        <f t="shared" si="11"/>
        <v>3.9809999999999999</v>
      </c>
      <c r="S40" s="161"/>
    </row>
    <row r="41" spans="1:19" ht="17.25" customHeight="1">
      <c r="A41" s="49">
        <f>'January 1, 2020'!A41*1.0175</f>
        <v>326.07173247065498</v>
      </c>
      <c r="B41" s="52" t="s">
        <v>177</v>
      </c>
      <c r="G41" s="179">
        <f t="shared" si="10"/>
        <v>2.9860000000000002</v>
      </c>
      <c r="H41" s="180">
        <f t="shared" si="11"/>
        <v>4.0759999999999996</v>
      </c>
      <c r="S41" s="161"/>
    </row>
    <row r="42" spans="1:19" ht="17.25" customHeight="1">
      <c r="A42" s="49">
        <f>'January 1, 2020'!A42*1.0175</f>
        <v>333.68313023100092</v>
      </c>
      <c r="B42" s="52" t="s">
        <v>178</v>
      </c>
      <c r="G42" s="179">
        <f t="shared" si="10"/>
        <v>3.056</v>
      </c>
      <c r="H42" s="180">
        <f t="shared" si="11"/>
        <v>4.1710000000000003</v>
      </c>
      <c r="S42" s="161"/>
    </row>
    <row r="43" spans="1:19" ht="17.25" customHeight="1">
      <c r="A43" s="49">
        <f>'January 1, 2020'!A43*1.0175</f>
        <v>364.53940820190047</v>
      </c>
      <c r="B43" s="52" t="s">
        <v>179</v>
      </c>
      <c r="G43" s="179">
        <f t="shared" si="10"/>
        <v>3.3380000000000001</v>
      </c>
      <c r="H43" s="180">
        <f t="shared" si="11"/>
        <v>4.5570000000000004</v>
      </c>
      <c r="S43" s="161"/>
    </row>
    <row r="44" spans="1:19">
      <c r="A44" s="50"/>
      <c r="B44" s="52"/>
    </row>
    <row r="45" spans="1:19" ht="27.75" customHeight="1">
      <c r="A45" s="41" t="s">
        <v>136</v>
      </c>
      <c r="B45" s="42" t="s">
        <v>181</v>
      </c>
    </row>
    <row r="46" spans="1:19" ht="27.75" customHeight="1">
      <c r="A46" s="41"/>
      <c r="G46" s="67" t="s">
        <v>275</v>
      </c>
      <c r="H46" s="67" t="s">
        <v>276</v>
      </c>
    </row>
    <row r="47" spans="1:19" ht="17.25" customHeight="1">
      <c r="A47" s="49">
        <f>'January 1, 2020'!A47*1.0175</f>
        <v>16.756026724215186</v>
      </c>
      <c r="B47" s="52" t="s">
        <v>161</v>
      </c>
      <c r="C47" s="52"/>
      <c r="D47" s="52"/>
      <c r="E47" s="52"/>
      <c r="F47" s="52"/>
      <c r="G47" s="179">
        <f>ROUND(A47/109.2,3)</f>
        <v>0.153</v>
      </c>
      <c r="H47" s="179">
        <f>ROUND(A47/80,3)</f>
        <v>0.20899999999999999</v>
      </c>
      <c r="I47" s="52"/>
      <c r="J47" s="52"/>
      <c r="K47" s="52"/>
      <c r="L47" s="52"/>
      <c r="M47" s="52"/>
      <c r="N47" s="160"/>
    </row>
    <row r="48" spans="1:19" ht="17.25" customHeight="1">
      <c r="A48" s="49">
        <f>'January 1, 2020'!A48*1.0175</f>
        <v>23.765083654605785</v>
      </c>
      <c r="B48" s="52" t="s">
        <v>162</v>
      </c>
      <c r="C48" s="52"/>
      <c r="D48" s="52"/>
      <c r="E48" s="52"/>
      <c r="F48" s="52"/>
      <c r="G48" s="179">
        <f t="shared" ref="G48:G66" si="12">ROUND(A48/109.2,3)</f>
        <v>0.218</v>
      </c>
      <c r="H48" s="179">
        <f t="shared" ref="H48:H66" si="13">ROUND(A48/80,3)</f>
        <v>0.29699999999999999</v>
      </c>
      <c r="I48" s="52"/>
      <c r="J48" s="52"/>
      <c r="K48" s="52"/>
      <c r="L48" s="52"/>
      <c r="M48" s="52"/>
      <c r="N48" s="160"/>
      <c r="S48" s="161"/>
    </row>
    <row r="49" spans="1:19" ht="17.25" customHeight="1">
      <c r="A49" s="49">
        <f>'January 1, 2020'!A49*1.0175</f>
        <v>30.774140584996491</v>
      </c>
      <c r="B49" s="52" t="s">
        <v>163</v>
      </c>
      <c r="C49" s="177"/>
      <c r="D49" s="177"/>
      <c r="E49" s="177"/>
      <c r="F49" s="177"/>
      <c r="G49" s="179">
        <f t="shared" si="12"/>
        <v>0.28199999999999997</v>
      </c>
      <c r="H49" s="179">
        <f t="shared" si="13"/>
        <v>0.38500000000000001</v>
      </c>
      <c r="I49" s="177"/>
      <c r="J49" s="177"/>
      <c r="K49" s="177"/>
      <c r="L49" s="177"/>
      <c r="M49" s="177"/>
      <c r="N49" s="160"/>
      <c r="S49" s="161"/>
    </row>
    <row r="50" spans="1:19" ht="17.25" customHeight="1">
      <c r="A50" s="49">
        <f>'January 1, 2020'!A50*1.0175</f>
        <v>37.783197515387194</v>
      </c>
      <c r="B50" s="52" t="s">
        <v>164</v>
      </c>
      <c r="C50" s="177"/>
      <c r="D50" s="177"/>
      <c r="E50" s="177"/>
      <c r="F50" s="177"/>
      <c r="G50" s="179">
        <f t="shared" si="12"/>
        <v>0.34599999999999997</v>
      </c>
      <c r="H50" s="179">
        <f t="shared" si="13"/>
        <v>0.47199999999999998</v>
      </c>
      <c r="I50" s="177"/>
      <c r="J50" s="177"/>
      <c r="K50" s="177"/>
      <c r="L50" s="177"/>
      <c r="M50" s="177"/>
      <c r="N50" s="160"/>
      <c r="S50" s="161"/>
    </row>
    <row r="51" spans="1:19" ht="17.25" customHeight="1">
      <c r="A51" s="49">
        <f>'January 1, 2020'!A51*1.0175</f>
        <v>44.7922544457778</v>
      </c>
      <c r="B51" s="52" t="s">
        <v>165</v>
      </c>
      <c r="C51" s="177"/>
      <c r="D51" s="177"/>
      <c r="E51" s="177"/>
      <c r="F51" s="177"/>
      <c r="G51" s="179">
        <f t="shared" si="12"/>
        <v>0.41</v>
      </c>
      <c r="H51" s="179">
        <f t="shared" si="13"/>
        <v>0.56000000000000005</v>
      </c>
      <c r="I51" s="177"/>
      <c r="J51" s="177"/>
      <c r="K51" s="177"/>
      <c r="L51" s="177"/>
      <c r="M51" s="177"/>
      <c r="N51" s="160"/>
      <c r="S51" s="161"/>
    </row>
    <row r="52" spans="1:19" ht="17.25" customHeight="1">
      <c r="A52" s="49">
        <f>'January 1, 2020'!A52*1.0175</f>
        <v>135.37610153248713</v>
      </c>
      <c r="B52" s="52" t="s">
        <v>166</v>
      </c>
      <c r="C52" s="177"/>
      <c r="D52" s="177"/>
      <c r="E52" s="177"/>
      <c r="F52" s="177"/>
      <c r="G52" s="179">
        <f t="shared" si="12"/>
        <v>1.24</v>
      </c>
      <c r="H52" s="179">
        <f t="shared" si="13"/>
        <v>1.6919999999999999</v>
      </c>
      <c r="I52" s="177"/>
      <c r="J52" s="177"/>
      <c r="K52" s="177"/>
      <c r="L52" s="177"/>
      <c r="M52" s="177"/>
      <c r="N52" s="160"/>
      <c r="S52" s="161"/>
    </row>
    <row r="53" spans="1:19" ht="17.25" customHeight="1">
      <c r="A53" s="49">
        <f>'January 1, 2020'!A53*1.0175</f>
        <v>142.98749929283306</v>
      </c>
      <c r="B53" s="52" t="s">
        <v>167</v>
      </c>
      <c r="G53" s="179">
        <f t="shared" si="12"/>
        <v>1.3089999999999999</v>
      </c>
      <c r="H53" s="179">
        <f t="shared" si="13"/>
        <v>1.7869999999999999</v>
      </c>
      <c r="S53" s="161"/>
    </row>
    <row r="54" spans="1:19" ht="17.25" customHeight="1">
      <c r="A54" s="49">
        <f>'January 1, 2020'!A54*1.0175</f>
        <v>150.5852074888617</v>
      </c>
      <c r="B54" s="52" t="s">
        <v>168</v>
      </c>
      <c r="G54" s="179">
        <f t="shared" si="12"/>
        <v>1.379</v>
      </c>
      <c r="H54" s="179">
        <f t="shared" si="13"/>
        <v>1.8819999999999999</v>
      </c>
      <c r="S54" s="161"/>
    </row>
    <row r="55" spans="1:19" ht="17.25" customHeight="1">
      <c r="A55" s="49">
        <f>'January 1, 2020'!A55*1.0175</f>
        <v>196.96545139543122</v>
      </c>
      <c r="B55" s="52" t="s">
        <v>169</v>
      </c>
      <c r="G55" s="179">
        <f t="shared" si="12"/>
        <v>1.804</v>
      </c>
      <c r="H55" s="179">
        <f t="shared" si="13"/>
        <v>2.4620000000000002</v>
      </c>
      <c r="S55" s="161"/>
    </row>
    <row r="56" spans="1:19" ht="17.25" customHeight="1">
      <c r="A56" s="49">
        <f>'January 1, 2020'!A56*1.0175</f>
        <v>204.56315959145985</v>
      </c>
      <c r="B56" s="52" t="s">
        <v>170</v>
      </c>
      <c r="G56" s="179">
        <f t="shared" si="12"/>
        <v>1.873</v>
      </c>
      <c r="H56" s="179">
        <f t="shared" si="13"/>
        <v>2.5569999999999999</v>
      </c>
      <c r="S56" s="161"/>
    </row>
    <row r="57" spans="1:19" ht="17.25" customHeight="1">
      <c r="A57" s="49">
        <f>'January 1, 2020'!A57*1.0175</f>
        <v>212.17455735180582</v>
      </c>
      <c r="B57" s="52" t="s">
        <v>171</v>
      </c>
      <c r="G57" s="179">
        <f t="shared" si="12"/>
        <v>1.9430000000000001</v>
      </c>
      <c r="H57" s="179">
        <f t="shared" si="13"/>
        <v>2.6520000000000001</v>
      </c>
      <c r="S57" s="161"/>
    </row>
    <row r="58" spans="1:19" ht="17.25" customHeight="1">
      <c r="A58" s="49">
        <f>'January 1, 2020'!A58*1.0175</f>
        <v>219.78595511215286</v>
      </c>
      <c r="B58" s="52" t="s">
        <v>172</v>
      </c>
      <c r="G58" s="179">
        <f t="shared" si="12"/>
        <v>2.0129999999999999</v>
      </c>
      <c r="H58" s="179">
        <f t="shared" si="13"/>
        <v>2.7469999999999999</v>
      </c>
      <c r="S58" s="161"/>
    </row>
    <row r="59" spans="1:19" ht="17.25" customHeight="1">
      <c r="A59" s="49">
        <f>'January 1, 2020'!A59*1.0175</f>
        <v>241.3607084760111</v>
      </c>
      <c r="B59" s="52" t="s">
        <v>173</v>
      </c>
      <c r="G59" s="179">
        <f t="shared" si="12"/>
        <v>2.21</v>
      </c>
      <c r="H59" s="179">
        <f t="shared" si="13"/>
        <v>3.0169999999999999</v>
      </c>
      <c r="S59" s="161"/>
    </row>
    <row r="60" spans="1:19" ht="17.25" customHeight="1">
      <c r="A60" s="49">
        <f>'January 1, 2020'!A60*1.0175</f>
        <v>303.23753918961597</v>
      </c>
      <c r="B60" s="52" t="s">
        <v>174</v>
      </c>
      <c r="G60" s="179">
        <f t="shared" si="12"/>
        <v>2.7770000000000001</v>
      </c>
      <c r="H60" s="179">
        <f t="shared" si="13"/>
        <v>3.79</v>
      </c>
      <c r="S60" s="161"/>
    </row>
    <row r="61" spans="1:19" ht="17.25" customHeight="1">
      <c r="A61" s="49">
        <f>'January 1, 2020'!A61*1.0175</f>
        <v>357.20422357183725</v>
      </c>
      <c r="B61" s="52" t="s">
        <v>175</v>
      </c>
      <c r="G61" s="179">
        <f t="shared" si="12"/>
        <v>3.2709999999999999</v>
      </c>
      <c r="H61" s="179">
        <f t="shared" si="13"/>
        <v>4.4649999999999999</v>
      </c>
      <c r="S61" s="161"/>
    </row>
    <row r="62" spans="1:19" ht="17.25" customHeight="1">
      <c r="A62" s="49">
        <f>'January 1, 2020'!A62*1.0175</f>
        <v>364.81562133218335</v>
      </c>
      <c r="B62" s="52" t="s">
        <v>176</v>
      </c>
      <c r="G62" s="179">
        <f t="shared" si="12"/>
        <v>3.3410000000000002</v>
      </c>
      <c r="H62" s="179">
        <f t="shared" si="13"/>
        <v>4.5599999999999996</v>
      </c>
      <c r="S62" s="161"/>
    </row>
    <row r="63" spans="1:19" ht="17.25" customHeight="1">
      <c r="A63" s="49">
        <f>'January 1, 2020'!A63*1.0175</f>
        <v>372.42701909252952</v>
      </c>
      <c r="B63" s="52" t="s">
        <v>177</v>
      </c>
      <c r="G63" s="179">
        <f t="shared" si="12"/>
        <v>3.411</v>
      </c>
      <c r="H63" s="179">
        <f t="shared" si="13"/>
        <v>4.6550000000000002</v>
      </c>
      <c r="S63" s="161"/>
    </row>
    <row r="64" spans="1:19" ht="17.25" customHeight="1">
      <c r="A64" s="49">
        <f>'January 1, 2020'!A64*1.0175</f>
        <v>380.03841685287574</v>
      </c>
      <c r="B64" s="52" t="s">
        <v>178</v>
      </c>
      <c r="G64" s="179">
        <f t="shared" si="12"/>
        <v>3.48</v>
      </c>
      <c r="H64" s="179">
        <f t="shared" si="13"/>
        <v>4.75</v>
      </c>
      <c r="S64" s="161"/>
    </row>
    <row r="65" spans="1:19" ht="17.25" customHeight="1">
      <c r="A65" s="49">
        <f>'January 1, 2020'!A65*1.0175</f>
        <v>410.89469482377524</v>
      </c>
      <c r="B65" s="52" t="s">
        <v>179</v>
      </c>
      <c r="G65" s="179">
        <f t="shared" si="12"/>
        <v>3.7629999999999999</v>
      </c>
      <c r="H65" s="179">
        <f t="shared" si="13"/>
        <v>5.1360000000000001</v>
      </c>
      <c r="S65" s="161"/>
    </row>
    <row r="66" spans="1:19" ht="17.25" customHeight="1">
      <c r="A66" s="49">
        <f>'January 1, 2020'!A66*1.0175</f>
        <v>470.66220984252521</v>
      </c>
      <c r="B66" s="52" t="s">
        <v>180</v>
      </c>
      <c r="G66" s="179">
        <f t="shared" si="12"/>
        <v>4.3099999999999996</v>
      </c>
      <c r="H66" s="179">
        <f t="shared" si="13"/>
        <v>5.883</v>
      </c>
      <c r="S66" s="161"/>
    </row>
    <row r="67" spans="1:19" s="98" customFormat="1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54"/>
      <c r="N67" s="158"/>
      <c r="O67" s="158"/>
      <c r="P67" s="162"/>
    </row>
    <row r="68" spans="1:19" s="98" customFormat="1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54"/>
      <c r="N68" s="158"/>
      <c r="O68" s="158"/>
      <c r="P68" s="162"/>
    </row>
    <row r="69" spans="1:19" s="98" customFormat="1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54"/>
      <c r="N69" s="158"/>
      <c r="O69" s="158"/>
      <c r="P69" s="162"/>
    </row>
    <row r="70" spans="1:19" s="98" customFormat="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158"/>
      <c r="O70" s="158"/>
      <c r="P70" s="162"/>
    </row>
    <row r="71" spans="1:19" s="98" customFormat="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158"/>
      <c r="O71" s="158"/>
      <c r="P71" s="162"/>
    </row>
    <row r="72" spans="1:19" s="98" customFormat="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158"/>
      <c r="O72" s="158"/>
      <c r="P72" s="162"/>
    </row>
    <row r="73" spans="1:19" s="98" customFormat="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158"/>
      <c r="O73" s="158"/>
      <c r="P73" s="162"/>
    </row>
    <row r="74" spans="1:19" s="98" customFormat="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158"/>
      <c r="O74" s="158"/>
      <c r="P74" s="162"/>
    </row>
    <row r="75" spans="1:19" s="98" customFormat="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158"/>
      <c r="O75" s="158"/>
      <c r="P75" s="162"/>
    </row>
    <row r="76" spans="1:19" s="98" customFormat="1">
      <c r="A76" s="42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158"/>
      <c r="O76" s="158"/>
      <c r="P76" s="162"/>
    </row>
    <row r="77" spans="1:19" s="98" customFormat="1">
      <c r="A77" s="41"/>
      <c r="B77" s="5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157"/>
      <c r="O77" s="158"/>
    </row>
    <row r="78" spans="1:19" s="98" customFormat="1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157"/>
      <c r="O78" s="158"/>
    </row>
    <row r="79" spans="1:19" s="98" customFormat="1">
      <c r="A79" s="5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157"/>
      <c r="O79" s="158"/>
    </row>
    <row r="80" spans="1:19" s="98" customFormat="1">
      <c r="A80" s="51"/>
      <c r="B80" s="329"/>
      <c r="C80" s="329"/>
      <c r="D80" s="329"/>
      <c r="E80" s="329"/>
      <c r="F80" s="329"/>
      <c r="G80" s="329"/>
      <c r="H80" s="329"/>
      <c r="I80" s="329"/>
      <c r="J80" s="329"/>
      <c r="K80" s="329"/>
      <c r="L80" s="329"/>
      <c r="M80" s="329"/>
      <c r="N80" s="329"/>
      <c r="O80" s="158"/>
    </row>
    <row r="81" spans="1:15" s="98" customFormat="1">
      <c r="A81" s="51"/>
      <c r="B81" s="329"/>
      <c r="C81" s="329"/>
      <c r="D81" s="329"/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163"/>
    </row>
    <row r="82" spans="1:15" s="98" customFormat="1">
      <c r="A82" s="51"/>
      <c r="B82" s="5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157"/>
      <c r="O82" s="163"/>
    </row>
    <row r="83" spans="1:15" s="98" customFormat="1">
      <c r="A83" s="51"/>
      <c r="B83" s="5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157"/>
      <c r="O83" s="163"/>
    </row>
    <row r="84" spans="1:15" s="98" customFormat="1">
      <c r="A84" s="51"/>
      <c r="B84" s="5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157"/>
      <c r="O84" s="163"/>
    </row>
    <row r="85" spans="1:15" s="98" customFormat="1">
      <c r="A85" s="51"/>
      <c r="B85" s="5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157"/>
      <c r="O85" s="163"/>
    </row>
    <row r="86" spans="1:15" s="98" customFormat="1">
      <c r="A86" s="51"/>
      <c r="B86" s="5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157"/>
      <c r="O86" s="163"/>
    </row>
    <row r="87" spans="1:15" s="98" customFormat="1">
      <c r="A87" s="51"/>
      <c r="B87" s="5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157"/>
      <c r="O87" s="163"/>
    </row>
    <row r="88" spans="1:15" s="98" customFormat="1">
      <c r="A88" s="51"/>
      <c r="B88" s="5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157"/>
      <c r="O88" s="163"/>
    </row>
    <row r="89" spans="1:15" s="98" customFormat="1">
      <c r="A89" s="51"/>
      <c r="B89" s="5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157"/>
      <c r="O89" s="163"/>
    </row>
    <row r="90" spans="1:15" s="98" customFormat="1">
      <c r="A90" s="51"/>
      <c r="B90" s="5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157"/>
      <c r="O90" s="163"/>
    </row>
    <row r="91" spans="1:15" s="98" customFormat="1">
      <c r="A91" s="51"/>
      <c r="B91" s="5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157"/>
      <c r="O91" s="163"/>
    </row>
    <row r="92" spans="1:15" s="98" customFormat="1">
      <c r="A92" s="51"/>
      <c r="B92" s="5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157"/>
      <c r="O92" s="163"/>
    </row>
    <row r="93" spans="1:15" s="98" customFormat="1">
      <c r="A93" s="51"/>
      <c r="B93" s="5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157"/>
      <c r="O93" s="163"/>
    </row>
    <row r="94" spans="1:15" s="98" customFormat="1">
      <c r="A94" s="51"/>
      <c r="B94" s="5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157"/>
      <c r="O94" s="163"/>
    </row>
    <row r="95" spans="1:15" s="98" customFormat="1">
      <c r="A95" s="42"/>
      <c r="B95" s="5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157"/>
      <c r="O95" s="163"/>
    </row>
    <row r="96" spans="1:15" s="98" customFormat="1">
      <c r="A96" s="42"/>
      <c r="B96" s="5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157"/>
      <c r="O96" s="163"/>
    </row>
    <row r="97" spans="1:15" s="98" customFormat="1">
      <c r="A97" s="42"/>
      <c r="B97" s="5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157"/>
      <c r="O97" s="158"/>
    </row>
    <row r="98" spans="1:15" s="98" customFormat="1">
      <c r="A98" s="42"/>
      <c r="B98" s="5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157"/>
      <c r="O98" s="158"/>
    </row>
  </sheetData>
  <sheetProtection sheet="1" objects="1" scenarios="1"/>
  <mergeCells count="4">
    <mergeCell ref="B80:N80"/>
    <mergeCell ref="B81:N81"/>
    <mergeCell ref="Q2:V2"/>
    <mergeCell ref="G2:L2"/>
  </mergeCells>
  <pageMargins left="0.25" right="0.25" top="0.75" bottom="0.75" header="0.3" footer="0.3"/>
  <pageSetup orientation="landscape" r:id="rId1"/>
  <headerFooter alignWithMargins="0"/>
  <rowBreaks count="2" manualBreakCount="2">
    <brk id="22" max="16383" man="1"/>
    <brk id="51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3"/>
  <dimension ref="A1:Z97"/>
  <sheetViews>
    <sheetView showGridLines="0" workbookViewId="0"/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2.140625" style="42" bestFit="1" customWidth="1"/>
    <col min="7" max="11" width="6.5703125" style="42" customWidth="1"/>
    <col min="12" max="12" width="6.42578125" style="42" bestFit="1" customWidth="1"/>
    <col min="13" max="15" width="6.42578125" style="42" customWidth="1"/>
    <col min="16" max="16" width="14.42578125" style="157" bestFit="1" customWidth="1"/>
    <col min="17" max="17" width="7.42578125" style="158" bestFit="1" customWidth="1"/>
    <col min="18" max="18" width="26.85546875" style="98" bestFit="1" customWidth="1"/>
    <col min="19" max="24" width="6.5703125" style="98" bestFit="1" customWidth="1"/>
    <col min="25" max="25" width="9.140625" style="98" hidden="1" customWidth="1"/>
    <col min="26" max="26" width="9.140625" style="42" customWidth="1"/>
    <col min="27" max="16384" width="9.140625" style="42"/>
  </cols>
  <sheetData>
    <row r="1" spans="1:24" ht="18.75">
      <c r="A1" s="206" t="s">
        <v>140</v>
      </c>
      <c r="B1" s="207"/>
      <c r="C1" s="207"/>
      <c r="D1" s="207"/>
      <c r="E1" s="207"/>
      <c r="F1" s="207"/>
      <c r="G1" s="208"/>
      <c r="H1" s="162"/>
      <c r="I1" s="98"/>
      <c r="J1" s="98"/>
      <c r="K1" s="98"/>
      <c r="L1" s="98"/>
      <c r="M1" s="98"/>
      <c r="N1" s="98"/>
      <c r="O1" s="98"/>
    </row>
    <row r="2" spans="1:24" ht="27" thickBot="1">
      <c r="A2" s="210" t="s">
        <v>185</v>
      </c>
      <c r="B2" s="158"/>
      <c r="C2" s="158"/>
      <c r="D2" s="162"/>
      <c r="E2" s="162"/>
      <c r="F2" s="339" t="s">
        <v>80</v>
      </c>
      <c r="G2" s="339"/>
      <c r="H2" s="339"/>
      <c r="I2" s="339"/>
      <c r="J2" s="339"/>
      <c r="K2" s="339"/>
      <c r="L2" s="339"/>
      <c r="M2" s="162"/>
      <c r="N2" s="162"/>
      <c r="O2" s="162"/>
      <c r="P2" s="335" t="s">
        <v>278</v>
      </c>
      <c r="Q2" s="336"/>
      <c r="R2" s="336"/>
      <c r="S2" s="336"/>
      <c r="T2" s="336"/>
      <c r="U2" s="336"/>
      <c r="V2" s="336"/>
      <c r="W2" s="336"/>
      <c r="X2" s="337"/>
    </row>
    <row r="3" spans="1:24" ht="30" customHeight="1" thickBot="1">
      <c r="A3" s="213" t="s">
        <v>137</v>
      </c>
      <c r="B3" s="214" t="s">
        <v>114</v>
      </c>
      <c r="C3" s="214" t="s">
        <v>138</v>
      </c>
      <c r="D3" s="215" t="s">
        <v>4</v>
      </c>
      <c r="E3" s="215" t="s">
        <v>5</v>
      </c>
      <c r="F3" s="215" t="s">
        <v>6</v>
      </c>
      <c r="G3" s="214" t="s">
        <v>7</v>
      </c>
      <c r="H3" s="214" t="s">
        <v>8</v>
      </c>
      <c r="I3" s="214" t="s">
        <v>9</v>
      </c>
      <c r="J3" s="214" t="s">
        <v>10</v>
      </c>
      <c r="K3" s="214" t="s">
        <v>11</v>
      </c>
      <c r="L3" s="216" t="s">
        <v>12</v>
      </c>
      <c r="M3" s="159"/>
      <c r="N3" s="159"/>
      <c r="O3" s="159"/>
      <c r="P3" s="63" t="s">
        <v>277</v>
      </c>
      <c r="Q3" s="63" t="s">
        <v>138</v>
      </c>
      <c r="R3" s="196" t="s">
        <v>4</v>
      </c>
      <c r="S3" s="59" t="s">
        <v>7</v>
      </c>
      <c r="T3" s="59" t="s">
        <v>8</v>
      </c>
      <c r="U3" s="59" t="s">
        <v>9</v>
      </c>
      <c r="V3" s="59" t="s">
        <v>10</v>
      </c>
      <c r="W3" s="59" t="s">
        <v>11</v>
      </c>
      <c r="X3" s="59" t="s">
        <v>12</v>
      </c>
    </row>
    <row r="4" spans="1:24" ht="18.75" customHeight="1">
      <c r="A4" s="217" t="s">
        <v>157</v>
      </c>
      <c r="B4" s="211" t="s">
        <v>115</v>
      </c>
      <c r="C4" s="211" t="s">
        <v>156</v>
      </c>
      <c r="D4" s="212" t="s">
        <v>84</v>
      </c>
      <c r="E4" s="209"/>
      <c r="F4" s="211" t="s">
        <v>17</v>
      </c>
      <c r="G4" s="223">
        <f>'July 1, 2020'!G4*1.015</f>
        <v>1758.0680846574978</v>
      </c>
      <c r="H4" s="224"/>
      <c r="I4" s="224"/>
      <c r="J4" s="224"/>
      <c r="K4" s="224"/>
      <c r="L4" s="225"/>
      <c r="M4" s="159"/>
      <c r="N4" s="159"/>
      <c r="O4" s="159"/>
      <c r="P4" s="191" t="s">
        <v>143</v>
      </c>
      <c r="Q4" s="196" t="s">
        <v>156</v>
      </c>
      <c r="R4" s="60" t="s">
        <v>84</v>
      </c>
      <c r="S4" s="166">
        <f>G4/80</f>
        <v>21.975851058218723</v>
      </c>
      <c r="T4" s="166"/>
      <c r="U4" s="166"/>
      <c r="V4" s="166"/>
      <c r="W4" s="166"/>
      <c r="X4" s="166"/>
    </row>
    <row r="5" spans="1:24" ht="18.75" customHeight="1">
      <c r="A5" s="218" t="s">
        <v>15</v>
      </c>
      <c r="B5" s="64" t="s">
        <v>115</v>
      </c>
      <c r="C5" s="64" t="s">
        <v>148</v>
      </c>
      <c r="D5" s="60" t="s">
        <v>16</v>
      </c>
      <c r="E5" s="60">
        <v>353</v>
      </c>
      <c r="F5" s="64" t="s">
        <v>17</v>
      </c>
      <c r="G5" s="226">
        <f>'July 1, 2020'!G5*1.015</f>
        <v>2511.5258352249971</v>
      </c>
      <c r="H5" s="226">
        <f>'July 1, 2020'!H5*1.015</f>
        <v>2611.986868633996</v>
      </c>
      <c r="I5" s="226">
        <f>'July 1, 2020'!I5*1.015</f>
        <v>2716.4663433793562</v>
      </c>
      <c r="J5" s="226">
        <f>'July 1, 2020'!J5*1.015</f>
        <v>2825.1249971145307</v>
      </c>
      <c r="K5" s="226">
        <f>'July 1, 2020'!K5*1.015</f>
        <v>2938.1299969991123</v>
      </c>
      <c r="L5" s="227">
        <f>'July 1, 2020'!L5*1.015</f>
        <v>3055.6551968790773</v>
      </c>
      <c r="M5" s="165"/>
      <c r="N5" s="165"/>
      <c r="O5" s="165"/>
      <c r="P5" s="64" t="s">
        <v>144</v>
      </c>
      <c r="Q5" s="64" t="s">
        <v>148</v>
      </c>
      <c r="R5" s="60" t="s">
        <v>16</v>
      </c>
      <c r="S5" s="166">
        <f>G5/109.2</f>
        <v>22.999320835393746</v>
      </c>
      <c r="T5" s="166">
        <f t="shared" ref="T5:X5" si="0">H5/109.2</f>
        <v>23.919293668809487</v>
      </c>
      <c r="U5" s="166">
        <f t="shared" si="0"/>
        <v>24.876065415561868</v>
      </c>
      <c r="V5" s="166">
        <f t="shared" si="0"/>
        <v>25.871108032184345</v>
      </c>
      <c r="W5" s="166">
        <f t="shared" si="0"/>
        <v>26.905952353471726</v>
      </c>
      <c r="X5" s="166">
        <f t="shared" si="0"/>
        <v>27.982190447610598</v>
      </c>
    </row>
    <row r="6" spans="1:24" ht="18.75" customHeight="1">
      <c r="A6" s="218" t="s">
        <v>19</v>
      </c>
      <c r="B6" s="64" t="s">
        <v>115</v>
      </c>
      <c r="C6" s="64" t="s">
        <v>149</v>
      </c>
      <c r="D6" s="60" t="s">
        <v>20</v>
      </c>
      <c r="E6" s="60">
        <v>353</v>
      </c>
      <c r="F6" s="64" t="s">
        <v>17</v>
      </c>
      <c r="G6" s="226">
        <f>'July 1, 2020'!G6*1.015</f>
        <v>2511.5258352249971</v>
      </c>
      <c r="H6" s="226">
        <f>'July 1, 2020'!H6*1.015</f>
        <v>2611.986868633996</v>
      </c>
      <c r="I6" s="226">
        <f>'July 1, 2020'!I6*1.015</f>
        <v>2716.4663433793562</v>
      </c>
      <c r="J6" s="226">
        <f>'July 1, 2020'!J6*1.015</f>
        <v>2825.1249971145307</v>
      </c>
      <c r="K6" s="226">
        <f>'July 1, 2020'!K6*1.015</f>
        <v>2938.1299969991123</v>
      </c>
      <c r="L6" s="227">
        <f>'July 1, 2020'!L6*1.015</f>
        <v>3055.6551968790773</v>
      </c>
      <c r="M6" s="165"/>
      <c r="N6" s="165"/>
      <c r="O6" s="165"/>
      <c r="P6" s="64" t="s">
        <v>143</v>
      </c>
      <c r="Q6" s="64" t="s">
        <v>149</v>
      </c>
      <c r="R6" s="60" t="s">
        <v>20</v>
      </c>
      <c r="S6" s="166">
        <f t="shared" ref="S6:X6" si="1">G6/80</f>
        <v>31.394072940312462</v>
      </c>
      <c r="T6" s="166">
        <f t="shared" si="1"/>
        <v>32.649835857924948</v>
      </c>
      <c r="U6" s="166">
        <f t="shared" si="1"/>
        <v>33.955829292241951</v>
      </c>
      <c r="V6" s="166">
        <f t="shared" si="1"/>
        <v>35.314062463931634</v>
      </c>
      <c r="W6" s="166">
        <f t="shared" si="1"/>
        <v>36.726624962488906</v>
      </c>
      <c r="X6" s="166">
        <f t="shared" si="1"/>
        <v>38.195689960988467</v>
      </c>
    </row>
    <row r="7" spans="1:24" ht="18.75" customHeight="1">
      <c r="A7" s="218" t="s">
        <v>21</v>
      </c>
      <c r="B7" s="64" t="s">
        <v>115</v>
      </c>
      <c r="C7" s="64" t="s">
        <v>148</v>
      </c>
      <c r="D7" s="60" t="s">
        <v>22</v>
      </c>
      <c r="E7" s="60"/>
      <c r="F7" s="64" t="s">
        <v>17</v>
      </c>
      <c r="G7" s="226">
        <f>'July 1, 2020'!G7*1.015</f>
        <v>2511.5258352249971</v>
      </c>
      <c r="H7" s="226">
        <f>'July 1, 2020'!H7*1.015</f>
        <v>2611.986868633996</v>
      </c>
      <c r="I7" s="226">
        <f>'July 1, 2020'!I7*1.015</f>
        <v>2716.4663433793562</v>
      </c>
      <c r="J7" s="226">
        <f>'July 1, 2020'!J7*1.015</f>
        <v>2825.1249971145307</v>
      </c>
      <c r="K7" s="226">
        <f>'July 1, 2020'!K7*1.015</f>
        <v>2938.1299969991123</v>
      </c>
      <c r="L7" s="227">
        <f>'July 1, 2020'!L7*1.015</f>
        <v>3055.6551968790773</v>
      </c>
      <c r="M7" s="165"/>
      <c r="N7" s="165"/>
      <c r="O7" s="165"/>
      <c r="P7" s="64" t="s">
        <v>144</v>
      </c>
      <c r="Q7" s="64" t="s">
        <v>148</v>
      </c>
      <c r="R7" s="60" t="s">
        <v>22</v>
      </c>
      <c r="S7" s="166">
        <f t="shared" ref="S7:X8" si="2">G7/109.2</f>
        <v>22.999320835393746</v>
      </c>
      <c r="T7" s="166">
        <f t="shared" si="2"/>
        <v>23.919293668809487</v>
      </c>
      <c r="U7" s="166">
        <f t="shared" si="2"/>
        <v>24.876065415561868</v>
      </c>
      <c r="V7" s="166">
        <f t="shared" si="2"/>
        <v>25.871108032184345</v>
      </c>
      <c r="W7" s="166">
        <f t="shared" si="2"/>
        <v>26.905952353471726</v>
      </c>
      <c r="X7" s="166">
        <f t="shared" si="2"/>
        <v>27.982190447610598</v>
      </c>
    </row>
    <row r="8" spans="1:24" ht="18.75" customHeight="1">
      <c r="A8" s="218" t="s">
        <v>23</v>
      </c>
      <c r="B8" s="64" t="s">
        <v>115</v>
      </c>
      <c r="C8" s="64" t="s">
        <v>150</v>
      </c>
      <c r="D8" s="60" t="s">
        <v>24</v>
      </c>
      <c r="E8" s="60"/>
      <c r="F8" s="64" t="s">
        <v>17</v>
      </c>
      <c r="G8" s="226">
        <f>'July 1, 2020'!G8*1.015</f>
        <v>3113.3638604711291</v>
      </c>
      <c r="H8" s="226">
        <f>'July 1, 2020'!H8*1.015</f>
        <v>3235.6205110403193</v>
      </c>
      <c r="I8" s="226">
        <f>'July 1, 2020'!I8*1.015</f>
        <v>3432.2071977692931</v>
      </c>
      <c r="J8" s="226"/>
      <c r="K8" s="226"/>
      <c r="L8" s="227"/>
      <c r="M8" s="165"/>
      <c r="N8" s="165"/>
      <c r="O8" s="165"/>
      <c r="P8" s="64" t="s">
        <v>144</v>
      </c>
      <c r="Q8" s="64" t="s">
        <v>150</v>
      </c>
      <c r="R8" s="60" t="s">
        <v>24</v>
      </c>
      <c r="S8" s="166">
        <f t="shared" si="2"/>
        <v>28.510658062922428</v>
      </c>
      <c r="T8" s="166">
        <f t="shared" si="2"/>
        <v>29.630224460076185</v>
      </c>
      <c r="U8" s="166">
        <f t="shared" si="2"/>
        <v>31.430468844041144</v>
      </c>
      <c r="V8" s="166">
        <f t="shared" si="2"/>
        <v>0</v>
      </c>
      <c r="W8" s="166">
        <f t="shared" si="2"/>
        <v>0</v>
      </c>
      <c r="X8" s="166"/>
    </row>
    <row r="9" spans="1:24" ht="18.75" customHeight="1">
      <c r="A9" s="218" t="s">
        <v>195</v>
      </c>
      <c r="B9" s="64" t="s">
        <v>115</v>
      </c>
      <c r="C9" s="64" t="s">
        <v>151</v>
      </c>
      <c r="D9" s="60" t="s">
        <v>26</v>
      </c>
      <c r="E9" s="60"/>
      <c r="F9" s="64" t="s">
        <v>17</v>
      </c>
      <c r="G9" s="226">
        <f>'July 1, 2020'!G9*1.015</f>
        <v>3113.3638604711291</v>
      </c>
      <c r="H9" s="226">
        <f>'July 1, 2020'!H9*1.015</f>
        <v>3235.6205110403193</v>
      </c>
      <c r="I9" s="226">
        <f>'July 1, 2020'!I9*1.015</f>
        <v>3432.2071977692931</v>
      </c>
      <c r="J9" s="226"/>
      <c r="K9" s="226"/>
      <c r="L9" s="227"/>
      <c r="M9" s="165"/>
      <c r="N9" s="165"/>
      <c r="O9" s="165"/>
      <c r="P9" s="64" t="s">
        <v>143</v>
      </c>
      <c r="Q9" s="64" t="s">
        <v>151</v>
      </c>
      <c r="R9" s="60" t="s">
        <v>26</v>
      </c>
      <c r="S9" s="166">
        <f t="shared" ref="S9:U9" si="3">G9/80</f>
        <v>38.917048255889114</v>
      </c>
      <c r="T9" s="166">
        <f t="shared" si="3"/>
        <v>40.44525638800399</v>
      </c>
      <c r="U9" s="166">
        <f t="shared" si="3"/>
        <v>42.902589972116161</v>
      </c>
      <c r="V9" s="166"/>
      <c r="W9" s="166"/>
      <c r="X9" s="166"/>
    </row>
    <row r="10" spans="1:24" ht="18.75" customHeight="1">
      <c r="A10" s="218" t="s">
        <v>27</v>
      </c>
      <c r="B10" s="64" t="s">
        <v>115</v>
      </c>
      <c r="C10" s="64" t="s">
        <v>150</v>
      </c>
      <c r="D10" s="60" t="s">
        <v>28</v>
      </c>
      <c r="E10" s="60"/>
      <c r="F10" s="64" t="s">
        <v>17</v>
      </c>
      <c r="G10" s="226">
        <f>'July 1, 2020'!G10*1.015</f>
        <v>3113.3638604711291</v>
      </c>
      <c r="H10" s="226">
        <f>'July 1, 2020'!H10*1.015</f>
        <v>3235.6205110403193</v>
      </c>
      <c r="I10" s="226">
        <f>'July 1, 2020'!I10*1.015</f>
        <v>3432.2071977692931</v>
      </c>
      <c r="J10" s="226"/>
      <c r="K10" s="226"/>
      <c r="L10" s="227"/>
      <c r="M10" s="165"/>
      <c r="N10" s="165"/>
      <c r="O10" s="165"/>
      <c r="P10" s="64" t="s">
        <v>144</v>
      </c>
      <c r="Q10" s="64" t="s">
        <v>150</v>
      </c>
      <c r="R10" s="60" t="s">
        <v>28</v>
      </c>
      <c r="S10" s="166">
        <f t="shared" ref="S10:U11" si="4">G10/109.2</f>
        <v>28.510658062922428</v>
      </c>
      <c r="T10" s="166">
        <f t="shared" si="4"/>
        <v>29.630224460076185</v>
      </c>
      <c r="U10" s="166">
        <f t="shared" si="4"/>
        <v>31.430468844041144</v>
      </c>
      <c r="V10" s="166"/>
      <c r="W10" s="166"/>
      <c r="X10" s="166"/>
    </row>
    <row r="11" spans="1:24" ht="18.75" customHeight="1">
      <c r="A11" s="218" t="s">
        <v>29</v>
      </c>
      <c r="B11" s="64" t="s">
        <v>115</v>
      </c>
      <c r="C11" s="64" t="s">
        <v>152</v>
      </c>
      <c r="D11" s="60" t="s">
        <v>30</v>
      </c>
      <c r="E11" s="60"/>
      <c r="F11" s="64" t="s">
        <v>17</v>
      </c>
      <c r="G11" s="226">
        <f>'July 1, 2020'!G11*1.015</f>
        <v>3529.0364724063729</v>
      </c>
      <c r="H11" s="226">
        <f>'July 1, 2020'!H11*1.015</f>
        <v>3668.9524169466672</v>
      </c>
      <c r="I11" s="226">
        <f>'July 1, 2020'!I11*1.015</f>
        <v>3893.5181361292621</v>
      </c>
      <c r="J11" s="226"/>
      <c r="K11" s="226"/>
      <c r="L11" s="227"/>
      <c r="M11" s="165"/>
      <c r="N11" s="165"/>
      <c r="O11" s="165"/>
      <c r="P11" s="64" t="s">
        <v>144</v>
      </c>
      <c r="Q11" s="64" t="s">
        <v>152</v>
      </c>
      <c r="R11" s="60" t="s">
        <v>30</v>
      </c>
      <c r="S11" s="166">
        <f t="shared" si="4"/>
        <v>32.317183813245173</v>
      </c>
      <c r="T11" s="166">
        <f t="shared" si="4"/>
        <v>33.598465356654458</v>
      </c>
      <c r="U11" s="166">
        <f t="shared" si="4"/>
        <v>35.654927986531703</v>
      </c>
      <c r="V11" s="166"/>
      <c r="W11" s="166"/>
      <c r="X11" s="166"/>
    </row>
    <row r="12" spans="1:24" ht="18.75" customHeight="1">
      <c r="A12" s="218" t="s">
        <v>31</v>
      </c>
      <c r="B12" s="64" t="s">
        <v>115</v>
      </c>
      <c r="C12" s="64" t="s">
        <v>153</v>
      </c>
      <c r="D12" s="60" t="s">
        <v>32</v>
      </c>
      <c r="E12" s="60"/>
      <c r="F12" s="64" t="s">
        <v>17</v>
      </c>
      <c r="G12" s="226">
        <f>'July 1, 2020'!G12*1.015</f>
        <v>3529.0364724063729</v>
      </c>
      <c r="H12" s="226">
        <f>'July 1, 2020'!H12*1.015</f>
        <v>3668.9524169466672</v>
      </c>
      <c r="I12" s="226">
        <f>'July 1, 2020'!I12*1.015</f>
        <v>3893.5181361292621</v>
      </c>
      <c r="J12" s="226"/>
      <c r="K12" s="226"/>
      <c r="L12" s="227"/>
      <c r="M12" s="165"/>
      <c r="N12" s="165"/>
      <c r="O12" s="165"/>
      <c r="P12" s="64" t="s">
        <v>143</v>
      </c>
      <c r="Q12" s="64" t="s">
        <v>153</v>
      </c>
      <c r="R12" s="60" t="s">
        <v>32</v>
      </c>
      <c r="S12" s="166">
        <f t="shared" ref="S12:U12" si="5">G12/80</f>
        <v>44.112955905079659</v>
      </c>
      <c r="T12" s="166">
        <f t="shared" si="5"/>
        <v>45.861905211833339</v>
      </c>
      <c r="U12" s="166">
        <f t="shared" si="5"/>
        <v>48.668976701615776</v>
      </c>
      <c r="V12" s="166"/>
      <c r="W12" s="166"/>
      <c r="X12" s="166"/>
    </row>
    <row r="13" spans="1:24" ht="18.75" customHeight="1">
      <c r="A13" s="218" t="s">
        <v>33</v>
      </c>
      <c r="B13" s="64" t="s">
        <v>115</v>
      </c>
      <c r="C13" s="64" t="s">
        <v>152</v>
      </c>
      <c r="D13" s="60" t="s">
        <v>34</v>
      </c>
      <c r="E13" s="60"/>
      <c r="F13" s="64" t="s">
        <v>17</v>
      </c>
      <c r="G13" s="226">
        <f>'July 1, 2020'!G13*1.015</f>
        <v>3529.0364724063729</v>
      </c>
      <c r="H13" s="226">
        <f>'July 1, 2020'!H13*1.015</f>
        <v>3668.9524169466672</v>
      </c>
      <c r="I13" s="226">
        <f>'July 1, 2020'!I13*1.015</f>
        <v>3893.5181361292621</v>
      </c>
      <c r="J13" s="226"/>
      <c r="K13" s="226"/>
      <c r="L13" s="227"/>
      <c r="M13" s="165"/>
      <c r="N13" s="165"/>
      <c r="O13" s="165"/>
      <c r="P13" s="64" t="s">
        <v>144</v>
      </c>
      <c r="Q13" s="64" t="s">
        <v>152</v>
      </c>
      <c r="R13" s="60" t="s">
        <v>34</v>
      </c>
      <c r="S13" s="166">
        <f t="shared" ref="S13:U13" si="6">G13/109.2</f>
        <v>32.317183813245173</v>
      </c>
      <c r="T13" s="166">
        <f t="shared" si="6"/>
        <v>33.598465356654458</v>
      </c>
      <c r="U13" s="166">
        <f t="shared" si="6"/>
        <v>35.654927986531703</v>
      </c>
      <c r="V13" s="166"/>
      <c r="W13" s="166"/>
      <c r="X13" s="166"/>
    </row>
    <row r="14" spans="1:24" ht="18.75" customHeight="1">
      <c r="A14" s="218" t="s">
        <v>35</v>
      </c>
      <c r="B14" s="64" t="s">
        <v>115</v>
      </c>
      <c r="C14" s="64" t="s">
        <v>153</v>
      </c>
      <c r="D14" s="60" t="s">
        <v>36</v>
      </c>
      <c r="E14" s="60"/>
      <c r="F14" s="64" t="s">
        <v>17</v>
      </c>
      <c r="G14" s="226">
        <f>'July 1, 2020'!G14*1.015</f>
        <v>3529.0364724063729</v>
      </c>
      <c r="H14" s="226">
        <f>'July 1, 2020'!H14*1.015</f>
        <v>3668.9524169466672</v>
      </c>
      <c r="I14" s="226">
        <f>'July 1, 2020'!I14*1.015</f>
        <v>3893.5181361292621</v>
      </c>
      <c r="J14" s="226"/>
      <c r="K14" s="226"/>
      <c r="L14" s="227"/>
      <c r="M14" s="165"/>
      <c r="N14" s="165"/>
      <c r="O14" s="165"/>
      <c r="P14" s="64" t="s">
        <v>143</v>
      </c>
      <c r="Q14" s="64" t="s">
        <v>153</v>
      </c>
      <c r="R14" s="60" t="s">
        <v>36</v>
      </c>
      <c r="S14" s="166">
        <f>G14/80</f>
        <v>44.112955905079659</v>
      </c>
      <c r="T14" s="166">
        <f t="shared" ref="T14:U14" si="7">H14/80</f>
        <v>45.861905211833339</v>
      </c>
      <c r="U14" s="166">
        <f t="shared" si="7"/>
        <v>48.668976701615776</v>
      </c>
      <c r="V14" s="166"/>
      <c r="W14" s="166"/>
      <c r="X14" s="166"/>
    </row>
    <row r="15" spans="1:24" ht="18.75" customHeight="1">
      <c r="A15" s="218" t="s">
        <v>37</v>
      </c>
      <c r="B15" s="64" t="s">
        <v>115</v>
      </c>
      <c r="C15" s="64" t="s">
        <v>152</v>
      </c>
      <c r="D15" s="60" t="s">
        <v>38</v>
      </c>
      <c r="E15" s="60"/>
      <c r="F15" s="64" t="s">
        <v>17</v>
      </c>
      <c r="G15" s="226">
        <f>'July 1, 2020'!G15*1.015</f>
        <v>3529.0364724063729</v>
      </c>
      <c r="H15" s="226">
        <f>'July 1, 2020'!H15*1.015</f>
        <v>3668.9524169466672</v>
      </c>
      <c r="I15" s="226">
        <f>'July 1, 2020'!I15*1.015</f>
        <v>3893.5181361292621</v>
      </c>
      <c r="J15" s="226"/>
      <c r="K15" s="226"/>
      <c r="L15" s="227"/>
      <c r="M15" s="165"/>
      <c r="N15" s="165"/>
      <c r="O15" s="165"/>
      <c r="P15" s="64" t="s">
        <v>144</v>
      </c>
      <c r="Q15" s="64" t="s">
        <v>152</v>
      </c>
      <c r="R15" s="60" t="s">
        <v>38</v>
      </c>
      <c r="S15" s="166">
        <f>G15/109.2</f>
        <v>32.317183813245173</v>
      </c>
      <c r="T15" s="166">
        <f t="shared" ref="T15:U15" si="8">H15/109.2</f>
        <v>33.598465356654458</v>
      </c>
      <c r="U15" s="166">
        <f t="shared" si="8"/>
        <v>35.654927986531703</v>
      </c>
      <c r="V15" s="166"/>
      <c r="W15" s="166"/>
      <c r="X15" s="166"/>
    </row>
    <row r="16" spans="1:24" ht="18.75" customHeight="1">
      <c r="A16" s="218" t="s">
        <v>41</v>
      </c>
      <c r="B16" s="64" t="s">
        <v>115</v>
      </c>
      <c r="C16" s="64" t="s">
        <v>154</v>
      </c>
      <c r="D16" s="66" t="s">
        <v>113</v>
      </c>
      <c r="E16" s="60"/>
      <c r="F16" s="64" t="s">
        <v>17</v>
      </c>
      <c r="G16" s="226">
        <f>'July 1, 2020'!G16*1.015</f>
        <v>3611.8993133477115</v>
      </c>
      <c r="H16" s="226">
        <f>'July 1, 2020'!H16*1.015</f>
        <v>3673.0276386323071</v>
      </c>
      <c r="I16" s="226">
        <f>'July 1, 2020'!I16*1.015</f>
        <v>3735.514371145448</v>
      </c>
      <c r="J16" s="226">
        <f>'July 1, 2020'!J16*1.015</f>
        <v>3798.0011036585902</v>
      </c>
      <c r="K16" s="226">
        <f>'July 1, 2020'!K16*1.015</f>
        <v>4029.6882323921445</v>
      </c>
      <c r="L16" s="227"/>
      <c r="M16" s="165"/>
      <c r="N16" s="165"/>
      <c r="O16" s="165"/>
      <c r="P16" s="64" t="s">
        <v>144</v>
      </c>
      <c r="Q16" s="64" t="s">
        <v>154</v>
      </c>
      <c r="R16" s="66" t="s">
        <v>113</v>
      </c>
      <c r="S16" s="166">
        <f>G16/109.2</f>
        <v>33.076001037982707</v>
      </c>
      <c r="T16" s="166">
        <f t="shared" ref="T16:W16" si="9">H16/109.2</f>
        <v>33.635784236559587</v>
      </c>
      <c r="U16" s="166">
        <f t="shared" si="9"/>
        <v>34.208007061771504</v>
      </c>
      <c r="V16" s="166">
        <f t="shared" si="9"/>
        <v>34.780229886983427</v>
      </c>
      <c r="W16" s="166">
        <f t="shared" si="9"/>
        <v>36.901906890037949</v>
      </c>
      <c r="X16" s="166"/>
    </row>
    <row r="17" spans="1:26" ht="18.75" customHeight="1" thickBot="1">
      <c r="A17" s="219" t="s">
        <v>39</v>
      </c>
      <c r="B17" s="220" t="s">
        <v>115</v>
      </c>
      <c r="C17" s="220" t="s">
        <v>155</v>
      </c>
      <c r="D17" s="221" t="s">
        <v>42</v>
      </c>
      <c r="E17" s="222"/>
      <c r="F17" s="220" t="s">
        <v>17</v>
      </c>
      <c r="G17" s="228">
        <f>'July 1, 2020'!G17*1.015</f>
        <v>3611.8993133477115</v>
      </c>
      <c r="H17" s="228">
        <f>'July 1, 2020'!H17*1.015</f>
        <v>3673.0276386323071</v>
      </c>
      <c r="I17" s="228">
        <f>'July 1, 2020'!I17*1.015</f>
        <v>3735.514371145448</v>
      </c>
      <c r="J17" s="228">
        <f>'July 1, 2020'!J17*1.015</f>
        <v>3798.0011036585902</v>
      </c>
      <c r="K17" s="228">
        <f>'July 1, 2020'!K17*1.015</f>
        <v>4029.6882323921445</v>
      </c>
      <c r="L17" s="229"/>
      <c r="M17" s="165"/>
      <c r="N17" s="165"/>
      <c r="O17" s="165"/>
      <c r="P17" s="64" t="s">
        <v>143</v>
      </c>
      <c r="Q17" s="64" t="s">
        <v>155</v>
      </c>
      <c r="R17" s="60" t="s">
        <v>42</v>
      </c>
      <c r="S17" s="166">
        <f>G17/80</f>
        <v>45.148741416846391</v>
      </c>
      <c r="T17" s="166">
        <f t="shared" ref="T17:W17" si="10">H17/80</f>
        <v>45.91284548290384</v>
      </c>
      <c r="U17" s="166">
        <f t="shared" si="10"/>
        <v>46.6939296393181</v>
      </c>
      <c r="V17" s="166">
        <f t="shared" si="10"/>
        <v>47.47501379573238</v>
      </c>
      <c r="W17" s="166">
        <f t="shared" si="10"/>
        <v>50.371102904901804</v>
      </c>
      <c r="X17" s="166"/>
    </row>
    <row r="18" spans="1:26" ht="18.75" customHeight="1">
      <c r="A18" s="236" t="s">
        <v>280</v>
      </c>
      <c r="B18" s="237" t="s">
        <v>115</v>
      </c>
      <c r="C18" s="237" t="s">
        <v>235</v>
      </c>
      <c r="D18" s="238" t="s">
        <v>281</v>
      </c>
      <c r="E18" s="239"/>
      <c r="F18" s="237" t="s">
        <v>17</v>
      </c>
      <c r="G18" s="240">
        <v>2511.5258352249971</v>
      </c>
      <c r="H18" s="240">
        <v>2611.986868633996</v>
      </c>
      <c r="I18" s="240">
        <v>2716.4663433793562</v>
      </c>
      <c r="J18" s="240">
        <v>2825.1249971145307</v>
      </c>
      <c r="K18" s="240">
        <v>2938.1299969991123</v>
      </c>
      <c r="L18" s="240">
        <v>3055.6551968790773</v>
      </c>
      <c r="M18" s="165"/>
      <c r="N18" s="165"/>
      <c r="O18" s="165"/>
      <c r="P18" s="64" t="s">
        <v>282</v>
      </c>
      <c r="Q18" s="64" t="s">
        <v>235</v>
      </c>
      <c r="R18" s="238" t="s">
        <v>281</v>
      </c>
      <c r="S18" s="166">
        <f>G18/80</f>
        <v>31.394072940312462</v>
      </c>
      <c r="T18" s="166">
        <f t="shared" ref="T18" si="11">H18/80</f>
        <v>32.649835857924948</v>
      </c>
      <c r="U18" s="166">
        <f t="shared" ref="U18" si="12">I18/80</f>
        <v>33.955829292241951</v>
      </c>
      <c r="V18" s="166">
        <f t="shared" ref="V18" si="13">J18/80</f>
        <v>35.314062463931634</v>
      </c>
      <c r="W18" s="166">
        <f t="shared" ref="W18:X18" si="14">K18/80</f>
        <v>36.726624962488906</v>
      </c>
      <c r="X18" s="166">
        <f t="shared" si="14"/>
        <v>38.195689960988467</v>
      </c>
    </row>
    <row r="19" spans="1:26" s="98" customFormat="1" ht="27.75" customHeight="1">
      <c r="A19" s="41" t="s">
        <v>107</v>
      </c>
      <c r="B19" s="42"/>
      <c r="C19" s="195"/>
      <c r="D19" s="42"/>
      <c r="E19" s="42"/>
      <c r="F19" s="42"/>
      <c r="G19" s="195"/>
      <c r="H19" s="195"/>
      <c r="I19" s="195"/>
      <c r="J19" s="195"/>
      <c r="K19" s="195"/>
      <c r="L19" s="195"/>
      <c r="M19" s="195"/>
      <c r="N19" s="195"/>
      <c r="O19" s="195"/>
      <c r="P19" s="157"/>
      <c r="Q19" s="158"/>
      <c r="Z19" s="42"/>
    </row>
    <row r="20" spans="1:26" s="98" customFormat="1" ht="17.25" customHeight="1">
      <c r="A20" s="50" t="s">
        <v>50</v>
      </c>
      <c r="B20" s="42"/>
      <c r="C20" s="195"/>
      <c r="D20" s="42"/>
      <c r="E20" s="42"/>
      <c r="F20" s="42"/>
      <c r="G20" s="195"/>
      <c r="H20" s="195"/>
      <c r="I20" s="195"/>
      <c r="J20" s="195"/>
      <c r="K20" s="195"/>
      <c r="L20" s="195"/>
      <c r="M20" s="195"/>
      <c r="N20" s="195"/>
      <c r="O20" s="195"/>
      <c r="P20" s="157"/>
      <c r="Q20" s="158"/>
      <c r="Z20" s="42"/>
    </row>
    <row r="21" spans="1:26" s="98" customFormat="1" ht="17.25" customHeight="1">
      <c r="A21" s="42" t="s">
        <v>51</v>
      </c>
      <c r="B21" s="42"/>
      <c r="C21" s="195"/>
      <c r="D21" s="42"/>
      <c r="E21" s="42"/>
      <c r="F21" s="42"/>
      <c r="G21" s="195"/>
      <c r="H21" s="195"/>
      <c r="I21" s="195"/>
      <c r="J21" s="195"/>
      <c r="K21" s="195"/>
      <c r="L21" s="195"/>
      <c r="M21" s="195"/>
      <c r="N21" s="195"/>
      <c r="O21" s="195"/>
      <c r="P21" s="157"/>
      <c r="Q21" s="158"/>
      <c r="Z21" s="42"/>
    </row>
    <row r="22" spans="1:26" s="98" customFormat="1" ht="17.25" customHeight="1">
      <c r="A22" s="50" t="s">
        <v>52</v>
      </c>
      <c r="B22" s="195"/>
      <c r="C22" s="195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157"/>
      <c r="Q22" s="158"/>
      <c r="Z22" s="42"/>
    </row>
    <row r="23" spans="1:26" s="98" customFormat="1" ht="17.25" customHeight="1">
      <c r="A23" s="50"/>
      <c r="B23" s="195"/>
      <c r="C23" s="195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338" t="s">
        <v>278</v>
      </c>
      <c r="Q23" s="338"/>
      <c r="Z23" s="42"/>
    </row>
    <row r="24" spans="1:26" ht="27.75" customHeight="1">
      <c r="A24" s="41" t="s">
        <v>136</v>
      </c>
      <c r="B24" s="42" t="s">
        <v>160</v>
      </c>
      <c r="P24" s="196" t="s">
        <v>230</v>
      </c>
      <c r="Q24" s="196" t="s">
        <v>231</v>
      </c>
    </row>
    <row r="25" spans="1:26" ht="17.25" customHeight="1">
      <c r="A25" s="49">
        <f>'July 1, 2020'!A25*1.015</f>
        <v>17.007367125078414</v>
      </c>
      <c r="B25" s="52" t="s">
        <v>161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193">
        <f>ROUND(A25/109.2,3)</f>
        <v>0.156</v>
      </c>
      <c r="Q25" s="192">
        <f>ROUND(A25/80,3)</f>
        <v>0.21299999999999999</v>
      </c>
    </row>
    <row r="26" spans="1:26" ht="17.25" customHeight="1">
      <c r="A26" s="49">
        <f>'July 1, 2020'!A26*1.015</f>
        <v>24.121559909424871</v>
      </c>
      <c r="B26" s="52" t="s">
        <v>162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193">
        <f t="shared" ref="P26:P43" si="15">ROUND(A26/109.2,3)</f>
        <v>0.221</v>
      </c>
      <c r="Q26" s="192">
        <f t="shared" ref="Q26:Q43" si="16">ROUND(A26/80,3)</f>
        <v>0.30199999999999999</v>
      </c>
      <c r="U26" s="161"/>
    </row>
    <row r="27" spans="1:26" ht="17.25" customHeight="1">
      <c r="A27" s="49">
        <f>'July 1, 2020'!A27*1.015</f>
        <v>31.235752693771435</v>
      </c>
      <c r="B27" s="52" t="s">
        <v>163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3">
        <f t="shared" si="15"/>
        <v>0.28599999999999998</v>
      </c>
      <c r="Q27" s="192">
        <f t="shared" si="16"/>
        <v>0.39</v>
      </c>
      <c r="U27" s="161"/>
    </row>
    <row r="28" spans="1:26" ht="17.25" customHeight="1">
      <c r="A28" s="49">
        <f>'July 1, 2020'!A28*1.015</f>
        <v>38.349945478117995</v>
      </c>
      <c r="B28" s="52" t="s">
        <v>164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3">
        <f t="shared" si="15"/>
        <v>0.35099999999999998</v>
      </c>
      <c r="Q28" s="192">
        <f t="shared" si="16"/>
        <v>0.47899999999999998</v>
      </c>
      <c r="U28" s="161"/>
    </row>
    <row r="29" spans="1:26" ht="17.25" customHeight="1">
      <c r="A29" s="49">
        <f>'July 1, 2020'!A29*1.015</f>
        <v>45.464138262464466</v>
      </c>
      <c r="B29" s="52" t="s">
        <v>165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3">
        <f t="shared" si="15"/>
        <v>0.41599999999999998</v>
      </c>
      <c r="Q29" s="192">
        <f t="shared" si="16"/>
        <v>0.56799999999999995</v>
      </c>
      <c r="U29" s="161"/>
    </row>
    <row r="30" spans="1:26" ht="17.25" customHeight="1">
      <c r="A30" s="49">
        <f>'July 1, 2020'!A30*1.015</f>
        <v>137.40674305547441</v>
      </c>
      <c r="B30" s="52" t="s">
        <v>166</v>
      </c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3">
        <f t="shared" si="15"/>
        <v>1.258</v>
      </c>
      <c r="Q30" s="192">
        <f t="shared" si="16"/>
        <v>1.718</v>
      </c>
      <c r="U30" s="161"/>
    </row>
    <row r="31" spans="1:26" ht="17.25" customHeight="1">
      <c r="A31" s="49">
        <f>'July 1, 2020'!A31*1.015</f>
        <v>145.13231178222554</v>
      </c>
      <c r="B31" s="52" t="s">
        <v>167</v>
      </c>
      <c r="P31" s="193">
        <f t="shared" si="15"/>
        <v>1.329</v>
      </c>
      <c r="Q31" s="192">
        <f t="shared" si="16"/>
        <v>1.8140000000000001</v>
      </c>
      <c r="U31" s="161"/>
    </row>
    <row r="32" spans="1:26" ht="17.25" customHeight="1">
      <c r="A32" s="49">
        <f>'July 1, 2020'!A32*1.015</f>
        <v>152.84398560119462</v>
      </c>
      <c r="B32" s="52" t="s">
        <v>168</v>
      </c>
      <c r="P32" s="193">
        <f t="shared" si="15"/>
        <v>1.4</v>
      </c>
      <c r="Q32" s="192">
        <f t="shared" si="16"/>
        <v>1.911</v>
      </c>
      <c r="U32" s="161"/>
    </row>
    <row r="33" spans="1:21" ht="17.25" customHeight="1">
      <c r="A33" s="49">
        <f>'July 1, 2020'!A33*1.015</f>
        <v>199.91993316636265</v>
      </c>
      <c r="B33" s="52" t="s">
        <v>169</v>
      </c>
      <c r="P33" s="193">
        <f t="shared" si="15"/>
        <v>1.831</v>
      </c>
      <c r="Q33" s="192">
        <f t="shared" si="16"/>
        <v>2.4990000000000001</v>
      </c>
      <c r="U33" s="161"/>
    </row>
    <row r="34" spans="1:21" ht="17.25" customHeight="1">
      <c r="A34" s="49">
        <f>'July 1, 2020'!A34*1.015</f>
        <v>207.63160698533173</v>
      </c>
      <c r="B34" s="52" t="s">
        <v>170</v>
      </c>
      <c r="P34" s="193">
        <f t="shared" si="15"/>
        <v>1.901</v>
      </c>
      <c r="Q34" s="192">
        <f t="shared" si="16"/>
        <v>2.5950000000000002</v>
      </c>
      <c r="U34" s="161"/>
    </row>
    <row r="35" spans="1:21" ht="17.25" customHeight="1">
      <c r="A35" s="49">
        <f>'July 1, 2020'!A35*1.015</f>
        <v>215.35717571208289</v>
      </c>
      <c r="B35" s="52" t="s">
        <v>171</v>
      </c>
      <c r="P35" s="193">
        <f t="shared" si="15"/>
        <v>1.972</v>
      </c>
      <c r="Q35" s="192">
        <f t="shared" si="16"/>
        <v>2.6920000000000002</v>
      </c>
      <c r="U35" s="161"/>
    </row>
    <row r="36" spans="1:21" ht="17.25" customHeight="1">
      <c r="A36" s="49">
        <f>'July 1, 2020'!A36*1.015</f>
        <v>223.08274443883514</v>
      </c>
      <c r="B36" s="52" t="s">
        <v>172</v>
      </c>
      <c r="P36" s="193">
        <f t="shared" si="15"/>
        <v>2.0430000000000001</v>
      </c>
      <c r="Q36" s="192">
        <f t="shared" si="16"/>
        <v>2.7890000000000001</v>
      </c>
      <c r="U36" s="161"/>
    </row>
    <row r="37" spans="1:21" ht="17.25" customHeight="1">
      <c r="A37" s="49">
        <f>'July 1, 2020'!A37*1.015</f>
        <v>244.98111910315123</v>
      </c>
      <c r="B37" s="52" t="s">
        <v>173</v>
      </c>
      <c r="P37" s="193">
        <f t="shared" si="15"/>
        <v>2.2429999999999999</v>
      </c>
      <c r="Q37" s="192">
        <f t="shared" si="16"/>
        <v>3.0619999999999998</v>
      </c>
      <c r="U37" s="161"/>
    </row>
    <row r="38" spans="1:21" ht="17.25" customHeight="1">
      <c r="A38" s="49">
        <f>'July 1, 2020'!A38*1.015</f>
        <v>307.7861022774602</v>
      </c>
      <c r="B38" s="52" t="s">
        <v>174</v>
      </c>
      <c r="P38" s="193">
        <f t="shared" si="15"/>
        <v>2.819</v>
      </c>
      <c r="Q38" s="192">
        <f t="shared" si="16"/>
        <v>3.847</v>
      </c>
      <c r="U38" s="161"/>
    </row>
    <row r="39" spans="1:21" ht="17.25" customHeight="1">
      <c r="A39" s="49">
        <f>'July 1, 2020'!A39*1.015</f>
        <v>315.51167100421139</v>
      </c>
      <c r="B39" s="52" t="s">
        <v>175</v>
      </c>
      <c r="P39" s="193">
        <f t="shared" si="15"/>
        <v>2.8889999999999998</v>
      </c>
      <c r="Q39" s="192">
        <f t="shared" si="16"/>
        <v>3.944</v>
      </c>
      <c r="U39" s="161"/>
    </row>
    <row r="40" spans="1:21" ht="17.25" customHeight="1">
      <c r="A40" s="49">
        <f>'July 1, 2020'!A40*1.015</f>
        <v>323.23723973096253</v>
      </c>
      <c r="B40" s="52" t="s">
        <v>176</v>
      </c>
      <c r="P40" s="193">
        <f t="shared" si="15"/>
        <v>2.96</v>
      </c>
      <c r="Q40" s="192">
        <f t="shared" si="16"/>
        <v>4.04</v>
      </c>
      <c r="U40" s="161"/>
    </row>
    <row r="41" spans="1:21" ht="17.25" customHeight="1">
      <c r="A41" s="49">
        <f>'July 1, 2020'!A41*1.015</f>
        <v>330.96280845771474</v>
      </c>
      <c r="B41" s="52" t="s">
        <v>177</v>
      </c>
      <c r="P41" s="193">
        <f t="shared" si="15"/>
        <v>3.0310000000000001</v>
      </c>
      <c r="Q41" s="192">
        <f t="shared" si="16"/>
        <v>4.1369999999999996</v>
      </c>
      <c r="U41" s="161"/>
    </row>
    <row r="42" spans="1:21" ht="17.25" customHeight="1">
      <c r="A42" s="49">
        <f>'July 1, 2020'!A42*1.015</f>
        <v>338.68837718446588</v>
      </c>
      <c r="B42" s="52" t="s">
        <v>178</v>
      </c>
      <c r="P42" s="193">
        <f t="shared" si="15"/>
        <v>3.1019999999999999</v>
      </c>
      <c r="Q42" s="192">
        <f t="shared" si="16"/>
        <v>4.234</v>
      </c>
      <c r="U42" s="161"/>
    </row>
    <row r="43" spans="1:21" ht="17.25" customHeight="1">
      <c r="A43" s="49">
        <f>'July 1, 2020'!A43*1.015</f>
        <v>370.00749932492892</v>
      </c>
      <c r="B43" s="52" t="s">
        <v>179</v>
      </c>
      <c r="P43" s="193">
        <f t="shared" si="15"/>
        <v>3.3879999999999999</v>
      </c>
      <c r="Q43" s="192">
        <f t="shared" si="16"/>
        <v>4.625</v>
      </c>
      <c r="U43" s="161"/>
    </row>
    <row r="44" spans="1:21">
      <c r="A44" s="50"/>
      <c r="B44" s="52"/>
    </row>
    <row r="45" spans="1:21" ht="27.75" customHeight="1">
      <c r="A45" s="41" t="s">
        <v>136</v>
      </c>
      <c r="B45" s="42" t="s">
        <v>181</v>
      </c>
      <c r="P45" s="196" t="s">
        <v>232</v>
      </c>
      <c r="Q45" s="196" t="s">
        <v>233</v>
      </c>
    </row>
    <row r="46" spans="1:21" ht="17.25" customHeight="1">
      <c r="A46" s="49">
        <f>'July 1, 2020'!A47*1.015</f>
        <v>17.007367125078414</v>
      </c>
      <c r="B46" s="52" t="s">
        <v>161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193">
        <f>ROUND(A46/109.2,3)</f>
        <v>0.156</v>
      </c>
      <c r="Q46" s="192">
        <f>ROUND(A46/80,3)</f>
        <v>0.21299999999999999</v>
      </c>
    </row>
    <row r="47" spans="1:21" ht="17.25" customHeight="1">
      <c r="A47" s="49">
        <f>'July 1, 2020'!A48*1.015</f>
        <v>24.121559909424871</v>
      </c>
      <c r="B47" s="52" t="s">
        <v>162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193">
        <f t="shared" ref="P47:P65" si="17">ROUND(A47/109.2,3)</f>
        <v>0.221</v>
      </c>
      <c r="Q47" s="192">
        <f t="shared" ref="Q47:Q65" si="18">ROUND(A47/80,3)</f>
        <v>0.30199999999999999</v>
      </c>
      <c r="U47" s="161"/>
    </row>
    <row r="48" spans="1:21" ht="17.25" customHeight="1">
      <c r="A48" s="49">
        <f>'July 1, 2020'!A49*1.015</f>
        <v>31.235752693771435</v>
      </c>
      <c r="B48" s="52" t="s">
        <v>163</v>
      </c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3">
        <f t="shared" si="17"/>
        <v>0.28599999999999998</v>
      </c>
      <c r="Q48" s="192">
        <f t="shared" si="18"/>
        <v>0.39</v>
      </c>
      <c r="U48" s="161"/>
    </row>
    <row r="49" spans="1:21" ht="17.25" customHeight="1">
      <c r="A49" s="49">
        <f>'July 1, 2020'!A50*1.015</f>
        <v>38.349945478117995</v>
      </c>
      <c r="B49" s="52" t="s">
        <v>164</v>
      </c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3">
        <f t="shared" si="17"/>
        <v>0.35099999999999998</v>
      </c>
      <c r="Q49" s="192">
        <f t="shared" si="18"/>
        <v>0.47899999999999998</v>
      </c>
      <c r="U49" s="161"/>
    </row>
    <row r="50" spans="1:21" ht="17.25" customHeight="1">
      <c r="A50" s="49">
        <f>'July 1, 2020'!A51*1.015</f>
        <v>45.464138262464466</v>
      </c>
      <c r="B50" s="52" t="s">
        <v>165</v>
      </c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3">
        <f t="shared" si="17"/>
        <v>0.41599999999999998</v>
      </c>
      <c r="Q50" s="192">
        <f t="shared" si="18"/>
        <v>0.56799999999999995</v>
      </c>
      <c r="U50" s="161"/>
    </row>
    <row r="51" spans="1:21" ht="17.25" customHeight="1">
      <c r="A51" s="49">
        <f>'July 1, 2020'!A52*1.015</f>
        <v>137.40674305547441</v>
      </c>
      <c r="B51" s="52" t="s">
        <v>166</v>
      </c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3">
        <f t="shared" si="17"/>
        <v>1.258</v>
      </c>
      <c r="Q51" s="192">
        <f t="shared" si="18"/>
        <v>1.718</v>
      </c>
      <c r="U51" s="161"/>
    </row>
    <row r="52" spans="1:21" ht="17.25" customHeight="1">
      <c r="A52" s="49">
        <f>'July 1, 2020'!A53*1.015</f>
        <v>145.13231178222554</v>
      </c>
      <c r="B52" s="52" t="s">
        <v>167</v>
      </c>
      <c r="P52" s="193">
        <f t="shared" si="17"/>
        <v>1.329</v>
      </c>
      <c r="Q52" s="192">
        <f t="shared" si="18"/>
        <v>1.8140000000000001</v>
      </c>
      <c r="U52" s="161"/>
    </row>
    <row r="53" spans="1:21" ht="17.25" customHeight="1">
      <c r="A53" s="49">
        <f>'July 1, 2020'!A54*1.015</f>
        <v>152.84398560119462</v>
      </c>
      <c r="B53" s="52" t="s">
        <v>168</v>
      </c>
      <c r="P53" s="193">
        <f t="shared" si="17"/>
        <v>1.4</v>
      </c>
      <c r="Q53" s="192">
        <f t="shared" si="18"/>
        <v>1.911</v>
      </c>
      <c r="U53" s="161"/>
    </row>
    <row r="54" spans="1:21" ht="17.25" customHeight="1">
      <c r="A54" s="49">
        <f>'July 1, 2020'!A55*1.015</f>
        <v>199.91993316636265</v>
      </c>
      <c r="B54" s="52" t="s">
        <v>169</v>
      </c>
      <c r="P54" s="193">
        <f t="shared" si="17"/>
        <v>1.831</v>
      </c>
      <c r="Q54" s="192">
        <f t="shared" si="18"/>
        <v>2.4990000000000001</v>
      </c>
      <c r="U54" s="161"/>
    </row>
    <row r="55" spans="1:21" ht="17.25" customHeight="1">
      <c r="A55" s="49">
        <f>'July 1, 2020'!A56*1.015</f>
        <v>207.63160698533173</v>
      </c>
      <c r="B55" s="52" t="s">
        <v>170</v>
      </c>
      <c r="P55" s="193">
        <f t="shared" si="17"/>
        <v>1.901</v>
      </c>
      <c r="Q55" s="192">
        <f t="shared" si="18"/>
        <v>2.5950000000000002</v>
      </c>
      <c r="U55" s="161"/>
    </row>
    <row r="56" spans="1:21" ht="17.25" customHeight="1">
      <c r="A56" s="49">
        <f>'July 1, 2020'!A57*1.015</f>
        <v>215.35717571208289</v>
      </c>
      <c r="B56" s="52" t="s">
        <v>171</v>
      </c>
      <c r="P56" s="193">
        <f t="shared" si="17"/>
        <v>1.972</v>
      </c>
      <c r="Q56" s="192">
        <f t="shared" si="18"/>
        <v>2.6920000000000002</v>
      </c>
      <c r="U56" s="161"/>
    </row>
    <row r="57" spans="1:21" ht="17.25" customHeight="1">
      <c r="A57" s="49">
        <f>'July 1, 2020'!A58*1.015</f>
        <v>223.08274443883514</v>
      </c>
      <c r="B57" s="52" t="s">
        <v>172</v>
      </c>
      <c r="P57" s="193">
        <f t="shared" si="17"/>
        <v>2.0430000000000001</v>
      </c>
      <c r="Q57" s="192">
        <f t="shared" si="18"/>
        <v>2.7890000000000001</v>
      </c>
      <c r="U57" s="161"/>
    </row>
    <row r="58" spans="1:21" ht="17.25" customHeight="1">
      <c r="A58" s="49">
        <f>'July 1, 2020'!A59*1.015</f>
        <v>244.98111910315123</v>
      </c>
      <c r="B58" s="52" t="s">
        <v>173</v>
      </c>
      <c r="P58" s="193">
        <f t="shared" si="17"/>
        <v>2.2429999999999999</v>
      </c>
      <c r="Q58" s="192">
        <f t="shared" si="18"/>
        <v>3.0619999999999998</v>
      </c>
      <c r="U58" s="161"/>
    </row>
    <row r="59" spans="1:21" ht="17.25" customHeight="1">
      <c r="A59" s="49">
        <f>'July 1, 2020'!A60*1.015</f>
        <v>307.7861022774602</v>
      </c>
      <c r="B59" s="52" t="s">
        <v>174</v>
      </c>
      <c r="P59" s="193">
        <f t="shared" si="17"/>
        <v>2.819</v>
      </c>
      <c r="Q59" s="192">
        <f t="shared" si="18"/>
        <v>3.847</v>
      </c>
      <c r="U59" s="161"/>
    </row>
    <row r="60" spans="1:21" ht="17.25" customHeight="1">
      <c r="A60" s="49">
        <f>'July 1, 2020'!A61*1.015</f>
        <v>362.56228692541475</v>
      </c>
      <c r="B60" s="52" t="s">
        <v>175</v>
      </c>
      <c r="P60" s="193">
        <f t="shared" si="17"/>
        <v>3.32</v>
      </c>
      <c r="Q60" s="192">
        <f t="shared" si="18"/>
        <v>4.532</v>
      </c>
      <c r="U60" s="161"/>
    </row>
    <row r="61" spans="1:21" ht="17.25" customHeight="1">
      <c r="A61" s="49">
        <f>'July 1, 2020'!A62*1.015</f>
        <v>370.28785565216606</v>
      </c>
      <c r="B61" s="52" t="s">
        <v>176</v>
      </c>
      <c r="P61" s="193">
        <f t="shared" si="17"/>
        <v>3.391</v>
      </c>
      <c r="Q61" s="192">
        <f t="shared" si="18"/>
        <v>4.6289999999999996</v>
      </c>
      <c r="U61" s="161"/>
    </row>
    <row r="62" spans="1:21" ht="17.25" customHeight="1">
      <c r="A62" s="49">
        <f>'July 1, 2020'!A63*1.015</f>
        <v>378.01342437891742</v>
      </c>
      <c r="B62" s="52" t="s">
        <v>177</v>
      </c>
      <c r="P62" s="193">
        <f t="shared" si="17"/>
        <v>3.4620000000000002</v>
      </c>
      <c r="Q62" s="192">
        <f t="shared" si="18"/>
        <v>4.7249999999999996</v>
      </c>
      <c r="U62" s="161"/>
    </row>
    <row r="63" spans="1:21" ht="17.25" customHeight="1">
      <c r="A63" s="49">
        <f>'July 1, 2020'!A64*1.015</f>
        <v>385.73899310566884</v>
      </c>
      <c r="B63" s="52" t="s">
        <v>178</v>
      </c>
      <c r="P63" s="193">
        <f t="shared" si="17"/>
        <v>3.532</v>
      </c>
      <c r="Q63" s="192">
        <f t="shared" si="18"/>
        <v>4.8220000000000001</v>
      </c>
      <c r="U63" s="161"/>
    </row>
    <row r="64" spans="1:21" ht="17.25" customHeight="1">
      <c r="A64" s="49">
        <f>'July 1, 2020'!A65*1.015</f>
        <v>417.05811524613182</v>
      </c>
      <c r="B64" s="52" t="s">
        <v>179</v>
      </c>
      <c r="P64" s="193">
        <f t="shared" si="17"/>
        <v>3.819</v>
      </c>
      <c r="Q64" s="192">
        <f t="shared" si="18"/>
        <v>5.2130000000000001</v>
      </c>
      <c r="U64" s="161"/>
    </row>
    <row r="65" spans="1:26" ht="17.25" customHeight="1">
      <c r="A65" s="49">
        <f>'July 1, 2020'!A66*1.015</f>
        <v>477.72214299016304</v>
      </c>
      <c r="B65" s="52" t="s">
        <v>180</v>
      </c>
      <c r="P65" s="193">
        <f t="shared" si="17"/>
        <v>4.375</v>
      </c>
      <c r="Q65" s="192">
        <f t="shared" si="18"/>
        <v>5.9720000000000004</v>
      </c>
      <c r="U65" s="161"/>
    </row>
    <row r="66" spans="1:26" s="98" customFormat="1">
      <c r="A66" s="41"/>
      <c r="B66" s="41"/>
      <c r="C66" s="41"/>
      <c r="D66" s="41"/>
      <c r="E66" s="41"/>
      <c r="F66" s="41"/>
      <c r="G66" s="41"/>
      <c r="H66" s="41"/>
      <c r="I66" s="41"/>
      <c r="J66" s="54"/>
      <c r="K66" s="54"/>
      <c r="L66" s="54"/>
      <c r="M66" s="54"/>
      <c r="N66" s="54"/>
      <c r="O66" s="54"/>
      <c r="P66" s="158"/>
      <c r="Q66" s="158"/>
      <c r="R66" s="162"/>
      <c r="Z66" s="42"/>
    </row>
    <row r="67" spans="1:26" s="98" customFormat="1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54"/>
      <c r="N67" s="54"/>
      <c r="O67" s="54"/>
      <c r="P67" s="158"/>
      <c r="Q67" s="158"/>
      <c r="R67" s="162"/>
      <c r="Z67" s="42"/>
    </row>
    <row r="68" spans="1:26" s="98" customFormat="1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54"/>
      <c r="N68" s="54"/>
      <c r="O68" s="54"/>
      <c r="P68" s="158"/>
      <c r="Q68" s="158"/>
      <c r="R68" s="162"/>
      <c r="Z68" s="42"/>
    </row>
    <row r="69" spans="1:26" s="98" customFormat="1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54"/>
      <c r="N69" s="54"/>
      <c r="O69" s="54"/>
      <c r="P69" s="158"/>
      <c r="Q69" s="158"/>
      <c r="R69" s="162"/>
      <c r="Z69" s="42"/>
    </row>
    <row r="70" spans="1:26" s="98" customFormat="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54"/>
      <c r="O70" s="54"/>
      <c r="P70" s="158"/>
      <c r="Q70" s="158"/>
      <c r="R70" s="162"/>
      <c r="Z70" s="42"/>
    </row>
    <row r="71" spans="1:26" s="98" customFormat="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54"/>
      <c r="O71" s="54"/>
      <c r="P71" s="158"/>
      <c r="Q71" s="158"/>
      <c r="R71" s="162"/>
      <c r="Z71" s="42"/>
    </row>
    <row r="72" spans="1:26" s="98" customFormat="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54"/>
      <c r="O72" s="54"/>
      <c r="P72" s="158"/>
      <c r="Q72" s="158"/>
      <c r="R72" s="162"/>
      <c r="Z72" s="42"/>
    </row>
    <row r="73" spans="1:26" s="98" customFormat="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54"/>
      <c r="O73" s="54"/>
      <c r="P73" s="158"/>
      <c r="Q73" s="158"/>
      <c r="R73" s="162"/>
      <c r="Z73" s="42"/>
    </row>
    <row r="74" spans="1:26" s="98" customFormat="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54"/>
      <c r="O74" s="54"/>
      <c r="P74" s="158"/>
      <c r="Q74" s="158"/>
      <c r="R74" s="162"/>
      <c r="Z74" s="42"/>
    </row>
    <row r="75" spans="1:26" s="98" customFormat="1">
      <c r="A75" s="42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54"/>
      <c r="O75" s="54"/>
      <c r="P75" s="158"/>
      <c r="Q75" s="158"/>
      <c r="R75" s="162"/>
      <c r="Z75" s="42"/>
    </row>
    <row r="76" spans="1:26" s="98" customFormat="1">
      <c r="A76" s="41"/>
      <c r="B76" s="5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157"/>
      <c r="Q76" s="158"/>
      <c r="Z76" s="42"/>
    </row>
    <row r="77" spans="1:26" s="98" customFormat="1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157"/>
      <c r="Q77" s="158"/>
      <c r="Z77" s="42"/>
    </row>
    <row r="78" spans="1:26" s="98" customFormat="1">
      <c r="A78" s="5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157"/>
      <c r="Q78" s="158"/>
      <c r="Z78" s="42"/>
    </row>
    <row r="79" spans="1:26" s="98" customFormat="1">
      <c r="A79" s="51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158"/>
      <c r="Z79" s="42"/>
    </row>
    <row r="80" spans="1:26" s="98" customFormat="1">
      <c r="A80" s="51"/>
      <c r="B80" s="329"/>
      <c r="C80" s="329"/>
      <c r="D80" s="329"/>
      <c r="E80" s="329"/>
      <c r="F80" s="329"/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163"/>
      <c r="Z80" s="42"/>
    </row>
    <row r="81" spans="1:26" s="98" customFormat="1">
      <c r="A81" s="51"/>
      <c r="B81" s="5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157"/>
      <c r="Q81" s="163"/>
      <c r="Z81" s="42"/>
    </row>
    <row r="82" spans="1:26" s="98" customFormat="1">
      <c r="A82" s="51"/>
      <c r="B82" s="5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157"/>
      <c r="Q82" s="163"/>
      <c r="Z82" s="42"/>
    </row>
    <row r="83" spans="1:26" s="98" customFormat="1">
      <c r="A83" s="51"/>
      <c r="B83" s="5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157"/>
      <c r="Q83" s="163"/>
      <c r="Z83" s="42"/>
    </row>
    <row r="84" spans="1:26" s="98" customFormat="1">
      <c r="A84" s="51"/>
      <c r="B84" s="5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157"/>
      <c r="Q84" s="163"/>
      <c r="Z84" s="42"/>
    </row>
    <row r="85" spans="1:26" s="98" customFormat="1">
      <c r="A85" s="51"/>
      <c r="B85" s="5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157"/>
      <c r="Q85" s="163"/>
      <c r="Z85" s="42"/>
    </row>
    <row r="86" spans="1:26" s="98" customFormat="1">
      <c r="A86" s="51"/>
      <c r="B86" s="5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157"/>
      <c r="Q86" s="163"/>
      <c r="Z86" s="42"/>
    </row>
    <row r="87" spans="1:26" s="98" customFormat="1">
      <c r="A87" s="51"/>
      <c r="B87" s="5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157"/>
      <c r="Q87" s="163"/>
      <c r="Z87" s="42"/>
    </row>
    <row r="88" spans="1:26" s="98" customFormat="1">
      <c r="A88" s="51"/>
      <c r="B88" s="5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157"/>
      <c r="Q88" s="163"/>
      <c r="Z88" s="42"/>
    </row>
    <row r="89" spans="1:26" s="98" customFormat="1">
      <c r="A89" s="51"/>
      <c r="B89" s="5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157"/>
      <c r="Q89" s="163"/>
      <c r="Z89" s="42"/>
    </row>
    <row r="90" spans="1:26" s="98" customFormat="1">
      <c r="A90" s="51"/>
      <c r="B90" s="5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157"/>
      <c r="Q90" s="163"/>
      <c r="Z90" s="42"/>
    </row>
    <row r="91" spans="1:26" s="98" customFormat="1">
      <c r="A91" s="51"/>
      <c r="B91" s="5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157"/>
      <c r="Q91" s="163"/>
      <c r="Z91" s="42"/>
    </row>
    <row r="92" spans="1:26" s="98" customFormat="1">
      <c r="A92" s="51"/>
      <c r="B92" s="5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157"/>
      <c r="Q92" s="163"/>
      <c r="Z92" s="42"/>
    </row>
    <row r="93" spans="1:26" s="98" customFormat="1">
      <c r="A93" s="51"/>
      <c r="B93" s="5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157"/>
      <c r="Q93" s="163"/>
      <c r="Z93" s="42"/>
    </row>
    <row r="94" spans="1:26" s="98" customFormat="1">
      <c r="A94" s="42"/>
      <c r="B94" s="5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157"/>
      <c r="Q94" s="163"/>
      <c r="Z94" s="42"/>
    </row>
    <row r="95" spans="1:26" s="98" customFormat="1">
      <c r="A95" s="42"/>
      <c r="B95" s="5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157"/>
      <c r="Q95" s="163"/>
      <c r="Z95" s="42"/>
    </row>
    <row r="96" spans="1:26" s="98" customFormat="1">
      <c r="A96" s="42"/>
      <c r="B96" s="5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157"/>
      <c r="Q96" s="158"/>
      <c r="Z96" s="42"/>
    </row>
    <row r="97" spans="1:26" s="98" customFormat="1">
      <c r="A97" s="42"/>
      <c r="B97" s="5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157"/>
      <c r="Q97" s="158"/>
      <c r="Z97" s="42"/>
    </row>
  </sheetData>
  <mergeCells count="5">
    <mergeCell ref="B79:P79"/>
    <mergeCell ref="B80:P80"/>
    <mergeCell ref="P2:X2"/>
    <mergeCell ref="P23:Q23"/>
    <mergeCell ref="F2:L2"/>
  </mergeCells>
  <pageMargins left="0.25" right="0.25" top="0.75" bottom="0.75" header="0.3" footer="0.3"/>
  <pageSetup orientation="landscape" r:id="rId1"/>
  <headerFooter alignWithMargins="0"/>
  <rowBreaks count="2" manualBreakCount="2">
    <brk id="23" max="16383" man="1"/>
    <brk id="50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4">
    <tabColor theme="1"/>
  </sheetPr>
  <dimension ref="A1:Z97"/>
  <sheetViews>
    <sheetView showGridLines="0" workbookViewId="0">
      <selection activeCell="G22" sqref="G22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31.42578125" style="42" customWidth="1"/>
    <col min="5" max="5" width="17.42578125" style="42" hidden="1" customWidth="1"/>
    <col min="6" max="6" width="2.140625" style="42" bestFit="1" customWidth="1"/>
    <col min="7" max="11" width="6.5703125" style="42" customWidth="1"/>
    <col min="12" max="12" width="6.5703125" style="42" bestFit="1" customWidth="1"/>
    <col min="13" max="13" width="6.42578125" style="42" customWidth="1"/>
    <col min="14" max="14" width="14.42578125" style="157" bestFit="1" customWidth="1"/>
    <col min="15" max="15" width="6.42578125" style="158" hidden="1" customWidth="1"/>
    <col min="16" max="16" width="15.7109375" style="98" hidden="1" customWidth="1"/>
    <col min="17" max="18" width="7.42578125" style="98" hidden="1" customWidth="1"/>
    <col min="19" max="19" width="26.85546875" style="98" hidden="1" customWidth="1"/>
    <col min="20" max="23" width="9.5703125" style="98" hidden="1" customWidth="1"/>
    <col min="24" max="24" width="9.140625" style="98" hidden="1" customWidth="1"/>
    <col min="25" max="25" width="9.140625" style="42" hidden="1" customWidth="1"/>
    <col min="26" max="26" width="0" style="42" hidden="1" customWidth="1"/>
    <col min="27" max="16384" width="9.140625" style="42"/>
  </cols>
  <sheetData>
    <row r="1" spans="1:25" ht="18.75">
      <c r="A1" s="206" t="s">
        <v>140</v>
      </c>
      <c r="B1" s="207"/>
      <c r="C1" s="207"/>
      <c r="D1" s="207"/>
      <c r="E1" s="208"/>
      <c r="F1" s="162"/>
      <c r="G1" s="230"/>
      <c r="H1" s="162"/>
      <c r="I1" s="98"/>
      <c r="J1" s="98"/>
      <c r="K1" s="98"/>
      <c r="L1" s="98"/>
      <c r="M1" s="98"/>
      <c r="P1" s="157">
        <v>1.0175000000000001</v>
      </c>
    </row>
    <row r="2" spans="1:25" ht="27" thickBot="1">
      <c r="A2" s="210" t="s">
        <v>186</v>
      </c>
      <c r="B2" s="158"/>
      <c r="C2" s="158"/>
      <c r="D2" s="162"/>
      <c r="E2" s="162"/>
      <c r="F2" s="339" t="s">
        <v>80</v>
      </c>
      <c r="G2" s="339"/>
      <c r="H2" s="339"/>
      <c r="I2" s="339"/>
      <c r="J2" s="339"/>
      <c r="K2" s="339"/>
      <c r="L2" s="339"/>
      <c r="M2" s="162"/>
      <c r="N2" s="158"/>
    </row>
    <row r="3" spans="1:25" ht="30" customHeight="1" thickBot="1">
      <c r="A3" s="213" t="s">
        <v>137</v>
      </c>
      <c r="B3" s="214" t="s">
        <v>114</v>
      </c>
      <c r="C3" s="214" t="s">
        <v>138</v>
      </c>
      <c r="D3" s="215" t="s">
        <v>4</v>
      </c>
      <c r="E3" s="215" t="s">
        <v>5</v>
      </c>
      <c r="F3" s="215" t="s">
        <v>6</v>
      </c>
      <c r="G3" s="214" t="s">
        <v>7</v>
      </c>
      <c r="H3" s="214" t="s">
        <v>8</v>
      </c>
      <c r="I3" s="214" t="s">
        <v>9</v>
      </c>
      <c r="J3" s="214" t="s">
        <v>10</v>
      </c>
      <c r="K3" s="214" t="s">
        <v>11</v>
      </c>
      <c r="L3" s="216" t="s">
        <v>12</v>
      </c>
      <c r="M3" s="159"/>
      <c r="N3" s="42"/>
      <c r="O3" s="202" t="s">
        <v>285</v>
      </c>
      <c r="P3" s="202" t="s">
        <v>277</v>
      </c>
      <c r="Q3" s="202" t="s">
        <v>138</v>
      </c>
      <c r="R3" s="202" t="s">
        <v>137</v>
      </c>
      <c r="S3" s="197" t="s">
        <v>279</v>
      </c>
      <c r="T3" s="197" t="s">
        <v>7</v>
      </c>
      <c r="U3" s="197" t="s">
        <v>8</v>
      </c>
      <c r="V3" s="197" t="s">
        <v>9</v>
      </c>
      <c r="W3" s="197" t="s">
        <v>10</v>
      </c>
      <c r="X3" s="197" t="s">
        <v>11</v>
      </c>
      <c r="Y3" s="197" t="s">
        <v>12</v>
      </c>
    </row>
    <row r="4" spans="1:25" ht="18.75" customHeight="1">
      <c r="A4" s="217" t="s">
        <v>157</v>
      </c>
      <c r="B4" s="211" t="s">
        <v>115</v>
      </c>
      <c r="C4" s="211" t="str">
        <f>Q4</f>
        <v>CFG 5</v>
      </c>
      <c r="D4" s="212" t="s">
        <v>84</v>
      </c>
      <c r="E4" s="209"/>
      <c r="F4" s="211" t="s">
        <v>17</v>
      </c>
      <c r="G4" s="223">
        <f t="shared" ref="G4:G18" si="0">VLOOKUP($A4,Jan2021Rates,7,0)*PercIncrJuly2021</f>
        <v>1788.8342761390043</v>
      </c>
      <c r="H4" s="224"/>
      <c r="I4" s="224"/>
      <c r="J4" s="224"/>
      <c r="K4" s="224"/>
      <c r="L4" s="225"/>
      <c r="M4" s="159"/>
      <c r="N4" s="42"/>
      <c r="O4" s="203">
        <v>80</v>
      </c>
      <c r="P4" s="235" t="s">
        <v>143</v>
      </c>
      <c r="Q4" s="204" t="s">
        <v>156</v>
      </c>
      <c r="R4" s="204" t="str">
        <f>A4</f>
        <v>04440C</v>
      </c>
      <c r="S4" s="203" t="s">
        <v>84</v>
      </c>
      <c r="T4" s="199">
        <f t="shared" ref="T4:T18" si="1">ROUNDUP(G4/$O4,3)</f>
        <v>22.361000000000001</v>
      </c>
      <c r="U4" s="199"/>
      <c r="V4" s="199"/>
      <c r="W4" s="199"/>
      <c r="X4" s="199"/>
      <c r="Y4" s="199"/>
    </row>
    <row r="5" spans="1:25" ht="18.75" customHeight="1">
      <c r="A5" s="218" t="s">
        <v>15</v>
      </c>
      <c r="B5" s="64" t="s">
        <v>115</v>
      </c>
      <c r="C5" s="211" t="str">
        <f t="shared" ref="C5:C18" si="2">Q5</f>
        <v>CFH 1</v>
      </c>
      <c r="D5" s="60" t="s">
        <v>16</v>
      </c>
      <c r="E5" s="60">
        <v>353</v>
      </c>
      <c r="F5" s="64" t="s">
        <v>17</v>
      </c>
      <c r="G5" s="223">
        <f t="shared" si="0"/>
        <v>2555.4775373414345</v>
      </c>
      <c r="H5" s="223">
        <f t="shared" ref="H5:H18" si="3">VLOOKUP($A5,Jan2021Rates,8,0)*PercIncrJuly2021</f>
        <v>2657.6966388350911</v>
      </c>
      <c r="I5" s="223">
        <f t="shared" ref="I5:I18" si="4">VLOOKUP($A5,Jan2021Rates,9,0)*PercIncrJuly2021</f>
        <v>2764.0045043884952</v>
      </c>
      <c r="J5" s="223">
        <f>VLOOKUP($A5,Jan2021Rates,10,0)*PercIncrJuly2021</f>
        <v>2874.5646845640354</v>
      </c>
      <c r="K5" s="223">
        <f>VLOOKUP($A5,Jan2021Rates,11,0)*PercIncrJuly2021</f>
        <v>2989.547271946597</v>
      </c>
      <c r="L5" s="249">
        <f>VLOOKUP($A5,Jan2021Rates,12,0)*PercIncrJuly2021</f>
        <v>3109.1291628244612</v>
      </c>
      <c r="M5" s="165"/>
      <c r="N5" s="42"/>
      <c r="O5" s="203">
        <v>109.2</v>
      </c>
      <c r="P5" s="204" t="s">
        <v>144</v>
      </c>
      <c r="Q5" s="204" t="s">
        <v>235</v>
      </c>
      <c r="R5" s="204" t="str">
        <f t="shared" ref="R5:R18" si="5">A5</f>
        <v>04450C</v>
      </c>
      <c r="S5" s="203" t="s">
        <v>16</v>
      </c>
      <c r="T5" s="199">
        <f t="shared" si="1"/>
        <v>23.402000000000001</v>
      </c>
      <c r="U5" s="199">
        <f t="shared" ref="U5:Y7" si="6">ROUNDUP(H5/$O5,3)</f>
        <v>24.338000000000001</v>
      </c>
      <c r="V5" s="199">
        <f t="shared" si="6"/>
        <v>25.312000000000001</v>
      </c>
      <c r="W5" s="199">
        <f t="shared" si="6"/>
        <v>26.324000000000002</v>
      </c>
      <c r="X5" s="199">
        <f t="shared" si="6"/>
        <v>27.377000000000002</v>
      </c>
      <c r="Y5" s="199">
        <f t="shared" si="6"/>
        <v>28.472000000000001</v>
      </c>
    </row>
    <row r="6" spans="1:25" ht="18.75" customHeight="1">
      <c r="A6" s="218" t="s">
        <v>19</v>
      </c>
      <c r="B6" s="64" t="s">
        <v>115</v>
      </c>
      <c r="C6" s="211" t="str">
        <f t="shared" si="2"/>
        <v>CFI 1</v>
      </c>
      <c r="D6" s="60" t="s">
        <v>20</v>
      </c>
      <c r="E6" s="60">
        <v>353</v>
      </c>
      <c r="F6" s="64" t="s">
        <v>17</v>
      </c>
      <c r="G6" s="223">
        <f t="shared" si="0"/>
        <v>2555.4775373414345</v>
      </c>
      <c r="H6" s="223">
        <f t="shared" si="3"/>
        <v>2657.6966388350911</v>
      </c>
      <c r="I6" s="223">
        <f t="shared" si="4"/>
        <v>2764.0045043884952</v>
      </c>
      <c r="J6" s="223">
        <f>VLOOKUP($A6,Jan2021Rates,10,0)*PercIncrJuly2021</f>
        <v>2874.5646845640354</v>
      </c>
      <c r="K6" s="223">
        <f>VLOOKUP($A6,Jan2021Rates,11,0)*PercIncrJuly2021</f>
        <v>2989.547271946597</v>
      </c>
      <c r="L6" s="249">
        <f>VLOOKUP($A6,Jan2021Rates,12,0)*PercIncrJuly2021</f>
        <v>3109.1291628244612</v>
      </c>
      <c r="M6" s="165"/>
      <c r="N6" s="42"/>
      <c r="O6" s="203">
        <v>80</v>
      </c>
      <c r="P6" s="204" t="s">
        <v>143</v>
      </c>
      <c r="Q6" s="204" t="s">
        <v>234</v>
      </c>
      <c r="R6" s="204" t="str">
        <f t="shared" si="5"/>
        <v>04451C</v>
      </c>
      <c r="S6" s="203" t="s">
        <v>20</v>
      </c>
      <c r="T6" s="199">
        <f t="shared" si="1"/>
        <v>31.944000000000003</v>
      </c>
      <c r="U6" s="199">
        <f t="shared" si="6"/>
        <v>33.221999999999994</v>
      </c>
      <c r="V6" s="199">
        <f t="shared" si="6"/>
        <v>34.550999999999995</v>
      </c>
      <c r="W6" s="199">
        <f t="shared" si="6"/>
        <v>35.933</v>
      </c>
      <c r="X6" s="199">
        <f t="shared" si="6"/>
        <v>37.369999999999997</v>
      </c>
      <c r="Y6" s="199">
        <f t="shared" si="6"/>
        <v>38.864999999999995</v>
      </c>
    </row>
    <row r="7" spans="1:25" ht="18.75" customHeight="1">
      <c r="A7" s="218" t="s">
        <v>21</v>
      </c>
      <c r="B7" s="64" t="s">
        <v>115</v>
      </c>
      <c r="C7" s="211" t="str">
        <f t="shared" si="2"/>
        <v>CFF 1</v>
      </c>
      <c r="D7" s="60" t="s">
        <v>22</v>
      </c>
      <c r="E7" s="60"/>
      <c r="F7" s="64" t="s">
        <v>17</v>
      </c>
      <c r="G7" s="223">
        <f t="shared" si="0"/>
        <v>2555.4775373414345</v>
      </c>
      <c r="H7" s="223">
        <f t="shared" si="3"/>
        <v>2657.6966388350911</v>
      </c>
      <c r="I7" s="223">
        <f t="shared" si="4"/>
        <v>2764.0045043884952</v>
      </c>
      <c r="J7" s="223">
        <f>VLOOKUP($A7,Jan2021Rates,10,0)*PercIncrJuly2021</f>
        <v>2874.5646845640354</v>
      </c>
      <c r="K7" s="223">
        <f>VLOOKUP($A7,Jan2021Rates,11,0)*PercIncrJuly2021</f>
        <v>2989.547271946597</v>
      </c>
      <c r="L7" s="249">
        <f>VLOOKUP($A7,Jan2021Rates,12,0)*PercIncrJuly2021</f>
        <v>3109.1291628244612</v>
      </c>
      <c r="M7" s="165"/>
      <c r="N7" s="42"/>
      <c r="O7" s="203">
        <v>109.2</v>
      </c>
      <c r="P7" s="204" t="s">
        <v>144</v>
      </c>
      <c r="Q7" s="204" t="s">
        <v>148</v>
      </c>
      <c r="R7" s="204" t="str">
        <f t="shared" si="5"/>
        <v>04388C</v>
      </c>
      <c r="S7" s="203" t="s">
        <v>22</v>
      </c>
      <c r="T7" s="199">
        <f t="shared" si="1"/>
        <v>23.402000000000001</v>
      </c>
      <c r="U7" s="199">
        <f t="shared" si="6"/>
        <v>24.338000000000001</v>
      </c>
      <c r="V7" s="199">
        <f t="shared" si="6"/>
        <v>25.312000000000001</v>
      </c>
      <c r="W7" s="199">
        <f t="shared" si="6"/>
        <v>26.324000000000002</v>
      </c>
      <c r="X7" s="199">
        <f t="shared" si="6"/>
        <v>27.377000000000002</v>
      </c>
      <c r="Y7" s="199">
        <f t="shared" si="6"/>
        <v>28.472000000000001</v>
      </c>
    </row>
    <row r="8" spans="1:25" ht="18.75" customHeight="1">
      <c r="A8" s="218" t="s">
        <v>23</v>
      </c>
      <c r="B8" s="64" t="s">
        <v>115</v>
      </c>
      <c r="C8" s="211" t="str">
        <f t="shared" si="2"/>
        <v>CFF 2</v>
      </c>
      <c r="D8" s="60" t="s">
        <v>24</v>
      </c>
      <c r="E8" s="60"/>
      <c r="F8" s="64" t="s">
        <v>17</v>
      </c>
      <c r="G8" s="223">
        <f t="shared" si="0"/>
        <v>3167.8477280293741</v>
      </c>
      <c r="H8" s="223">
        <f t="shared" si="3"/>
        <v>3292.2438699835252</v>
      </c>
      <c r="I8" s="223">
        <f t="shared" si="4"/>
        <v>3492.2708237302559</v>
      </c>
      <c r="J8" s="226"/>
      <c r="K8" s="226"/>
      <c r="L8" s="227"/>
      <c r="M8" s="165"/>
      <c r="N8" s="42"/>
      <c r="O8" s="203">
        <v>109.2</v>
      </c>
      <c r="P8" s="204" t="s">
        <v>144</v>
      </c>
      <c r="Q8" s="204" t="s">
        <v>150</v>
      </c>
      <c r="R8" s="204" t="str">
        <f t="shared" si="5"/>
        <v>04420C</v>
      </c>
      <c r="S8" s="203" t="s">
        <v>24</v>
      </c>
      <c r="T8" s="199">
        <f t="shared" si="1"/>
        <v>29.01</v>
      </c>
      <c r="U8" s="199">
        <f t="shared" ref="U8:U18" si="7">ROUNDUP(H8/$O8,3)</f>
        <v>30.149000000000001</v>
      </c>
      <c r="V8" s="199">
        <f t="shared" ref="V8:V18" si="8">ROUNDUP(I8/$O8,3)</f>
        <v>31.981000000000002</v>
      </c>
      <c r="W8" s="199"/>
      <c r="X8" s="199"/>
      <c r="Y8" s="199"/>
    </row>
    <row r="9" spans="1:25" ht="18.75" customHeight="1">
      <c r="A9" s="218" t="s">
        <v>195</v>
      </c>
      <c r="B9" s="64" t="s">
        <v>115</v>
      </c>
      <c r="C9" s="211" t="str">
        <f t="shared" si="2"/>
        <v>CFG 2</v>
      </c>
      <c r="D9" s="60" t="s">
        <v>26</v>
      </c>
      <c r="E9" s="60"/>
      <c r="F9" s="64" t="s">
        <v>17</v>
      </c>
      <c r="G9" s="223">
        <f t="shared" si="0"/>
        <v>3167.8477280293741</v>
      </c>
      <c r="H9" s="223">
        <f t="shared" si="3"/>
        <v>3292.2438699835252</v>
      </c>
      <c r="I9" s="223">
        <f t="shared" si="4"/>
        <v>3492.2708237302559</v>
      </c>
      <c r="J9" s="226"/>
      <c r="K9" s="226"/>
      <c r="L9" s="227"/>
      <c r="M9" s="165"/>
      <c r="N9" s="42"/>
      <c r="O9" s="203">
        <v>80</v>
      </c>
      <c r="P9" s="204" t="s">
        <v>143</v>
      </c>
      <c r="Q9" s="204" t="s">
        <v>151</v>
      </c>
      <c r="R9" s="204" t="str">
        <f t="shared" si="5"/>
        <v>04421C</v>
      </c>
      <c r="S9" s="203" t="s">
        <v>26</v>
      </c>
      <c r="T9" s="199">
        <f t="shared" si="1"/>
        <v>39.598999999999997</v>
      </c>
      <c r="U9" s="199">
        <f t="shared" si="7"/>
        <v>41.153999999999996</v>
      </c>
      <c r="V9" s="199">
        <f t="shared" si="8"/>
        <v>43.653999999999996</v>
      </c>
      <c r="W9" s="199"/>
      <c r="X9" s="199"/>
      <c r="Y9" s="199"/>
    </row>
    <row r="10" spans="1:25" ht="18.75" customHeight="1">
      <c r="A10" s="218" t="s">
        <v>27</v>
      </c>
      <c r="B10" s="64" t="s">
        <v>115</v>
      </c>
      <c r="C10" s="211" t="str">
        <f t="shared" si="2"/>
        <v>CFF 2</v>
      </c>
      <c r="D10" s="60" t="s">
        <v>28</v>
      </c>
      <c r="E10" s="60"/>
      <c r="F10" s="64" t="s">
        <v>17</v>
      </c>
      <c r="G10" s="223">
        <f t="shared" si="0"/>
        <v>3167.8477280293741</v>
      </c>
      <c r="H10" s="223">
        <f t="shared" si="3"/>
        <v>3292.2438699835252</v>
      </c>
      <c r="I10" s="223">
        <f t="shared" si="4"/>
        <v>3492.2708237302559</v>
      </c>
      <c r="J10" s="226"/>
      <c r="K10" s="226"/>
      <c r="L10" s="227"/>
      <c r="M10" s="165"/>
      <c r="N10" s="42"/>
      <c r="O10" s="203">
        <v>109.2</v>
      </c>
      <c r="P10" s="204" t="s">
        <v>144</v>
      </c>
      <c r="Q10" s="204" t="s">
        <v>150</v>
      </c>
      <c r="R10" s="204" t="str">
        <f t="shared" si="5"/>
        <v>04389C</v>
      </c>
      <c r="S10" s="203" t="s">
        <v>28</v>
      </c>
      <c r="T10" s="199">
        <f t="shared" si="1"/>
        <v>29.01</v>
      </c>
      <c r="U10" s="199">
        <f t="shared" si="7"/>
        <v>30.149000000000001</v>
      </c>
      <c r="V10" s="199">
        <f t="shared" si="8"/>
        <v>31.981000000000002</v>
      </c>
      <c r="W10" s="199"/>
      <c r="X10" s="199"/>
      <c r="Y10" s="199"/>
    </row>
    <row r="11" spans="1:25" ht="18.75" customHeight="1">
      <c r="A11" s="218" t="s">
        <v>29</v>
      </c>
      <c r="B11" s="64" t="s">
        <v>115</v>
      </c>
      <c r="C11" s="211" t="str">
        <f t="shared" si="2"/>
        <v>CFF 3</v>
      </c>
      <c r="D11" s="60" t="s">
        <v>30</v>
      </c>
      <c r="E11" s="60"/>
      <c r="F11" s="64" t="s">
        <v>17</v>
      </c>
      <c r="G11" s="223">
        <f t="shared" si="0"/>
        <v>3590.7946106734848</v>
      </c>
      <c r="H11" s="223">
        <f t="shared" si="3"/>
        <v>3733.1590842432342</v>
      </c>
      <c r="I11" s="223">
        <f t="shared" si="4"/>
        <v>3961.6547035115245</v>
      </c>
      <c r="J11" s="226"/>
      <c r="K11" s="226"/>
      <c r="L11" s="227"/>
      <c r="M11" s="165"/>
      <c r="N11" s="42"/>
      <c r="O11" s="203">
        <v>109.2</v>
      </c>
      <c r="P11" s="204" t="s">
        <v>144</v>
      </c>
      <c r="Q11" s="204" t="s">
        <v>152</v>
      </c>
      <c r="R11" s="204" t="str">
        <f t="shared" si="5"/>
        <v>04370C</v>
      </c>
      <c r="S11" s="203" t="s">
        <v>30</v>
      </c>
      <c r="T11" s="199">
        <f t="shared" si="1"/>
        <v>32.882999999999996</v>
      </c>
      <c r="U11" s="199">
        <f t="shared" si="7"/>
        <v>34.186999999999998</v>
      </c>
      <c r="V11" s="199">
        <f t="shared" si="8"/>
        <v>36.278999999999996</v>
      </c>
      <c r="W11" s="199"/>
      <c r="X11" s="199"/>
      <c r="Y11" s="199"/>
    </row>
    <row r="12" spans="1:25" ht="18.75" customHeight="1">
      <c r="A12" s="218" t="s">
        <v>31</v>
      </c>
      <c r="B12" s="64" t="s">
        <v>115</v>
      </c>
      <c r="C12" s="211" t="str">
        <f t="shared" si="2"/>
        <v>CFG 3</v>
      </c>
      <c r="D12" s="60" t="s">
        <v>32</v>
      </c>
      <c r="E12" s="60"/>
      <c r="F12" s="64" t="s">
        <v>17</v>
      </c>
      <c r="G12" s="223">
        <f t="shared" si="0"/>
        <v>3590.7946106734848</v>
      </c>
      <c r="H12" s="223">
        <f t="shared" si="3"/>
        <v>3733.1590842432342</v>
      </c>
      <c r="I12" s="223">
        <f t="shared" si="4"/>
        <v>3961.6547035115245</v>
      </c>
      <c r="J12" s="226"/>
      <c r="K12" s="226"/>
      <c r="L12" s="227"/>
      <c r="M12" s="165"/>
      <c r="N12" s="42"/>
      <c r="O12" s="203">
        <v>80</v>
      </c>
      <c r="P12" s="204" t="s">
        <v>143</v>
      </c>
      <c r="Q12" s="204" t="s">
        <v>153</v>
      </c>
      <c r="R12" s="204" t="str">
        <f t="shared" si="5"/>
        <v>04371C</v>
      </c>
      <c r="S12" s="203" t="s">
        <v>32</v>
      </c>
      <c r="T12" s="199">
        <f t="shared" si="1"/>
        <v>44.884999999999998</v>
      </c>
      <c r="U12" s="199">
        <f t="shared" si="7"/>
        <v>46.664999999999999</v>
      </c>
      <c r="V12" s="199">
        <f t="shared" si="8"/>
        <v>49.521000000000001</v>
      </c>
      <c r="W12" s="199"/>
      <c r="X12" s="199"/>
      <c r="Y12" s="199"/>
    </row>
    <row r="13" spans="1:25" ht="18.75" customHeight="1">
      <c r="A13" s="218" t="s">
        <v>33</v>
      </c>
      <c r="B13" s="64" t="s">
        <v>115</v>
      </c>
      <c r="C13" s="211" t="str">
        <f t="shared" si="2"/>
        <v>CFF 3</v>
      </c>
      <c r="D13" s="60" t="s">
        <v>34</v>
      </c>
      <c r="E13" s="60"/>
      <c r="F13" s="64" t="s">
        <v>17</v>
      </c>
      <c r="G13" s="223">
        <f t="shared" si="0"/>
        <v>3590.7946106734848</v>
      </c>
      <c r="H13" s="223">
        <f t="shared" si="3"/>
        <v>3733.1590842432342</v>
      </c>
      <c r="I13" s="223">
        <f t="shared" si="4"/>
        <v>3961.6547035115245</v>
      </c>
      <c r="J13" s="226"/>
      <c r="K13" s="226"/>
      <c r="L13" s="227"/>
      <c r="M13" s="165"/>
      <c r="N13" s="42"/>
      <c r="O13" s="203">
        <v>109.2</v>
      </c>
      <c r="P13" s="204" t="s">
        <v>144</v>
      </c>
      <c r="Q13" s="204" t="s">
        <v>152</v>
      </c>
      <c r="R13" s="204" t="str">
        <f t="shared" si="5"/>
        <v>04400C</v>
      </c>
      <c r="S13" s="203" t="s">
        <v>34</v>
      </c>
      <c r="T13" s="199">
        <f t="shared" si="1"/>
        <v>32.882999999999996</v>
      </c>
      <c r="U13" s="199">
        <f t="shared" si="7"/>
        <v>34.186999999999998</v>
      </c>
      <c r="V13" s="199">
        <f t="shared" si="8"/>
        <v>36.278999999999996</v>
      </c>
      <c r="W13" s="199"/>
      <c r="X13" s="199"/>
      <c r="Y13" s="199"/>
    </row>
    <row r="14" spans="1:25" ht="18.75" customHeight="1">
      <c r="A14" s="218" t="s">
        <v>35</v>
      </c>
      <c r="B14" s="64" t="s">
        <v>115</v>
      </c>
      <c r="C14" s="211" t="str">
        <f t="shared" si="2"/>
        <v>CFG 3</v>
      </c>
      <c r="D14" s="60" t="s">
        <v>36</v>
      </c>
      <c r="E14" s="60"/>
      <c r="F14" s="64" t="s">
        <v>17</v>
      </c>
      <c r="G14" s="223">
        <f t="shared" si="0"/>
        <v>3590.7946106734848</v>
      </c>
      <c r="H14" s="223">
        <f t="shared" si="3"/>
        <v>3733.1590842432342</v>
      </c>
      <c r="I14" s="223">
        <f t="shared" si="4"/>
        <v>3961.6547035115245</v>
      </c>
      <c r="J14" s="226"/>
      <c r="K14" s="226"/>
      <c r="L14" s="227"/>
      <c r="M14" s="165"/>
      <c r="N14" s="42"/>
      <c r="O14" s="203">
        <v>80</v>
      </c>
      <c r="P14" s="204" t="s">
        <v>143</v>
      </c>
      <c r="Q14" s="204" t="s">
        <v>153</v>
      </c>
      <c r="R14" s="204" t="str">
        <f t="shared" si="5"/>
        <v>04401C</v>
      </c>
      <c r="S14" s="203" t="s">
        <v>36</v>
      </c>
      <c r="T14" s="199">
        <f t="shared" si="1"/>
        <v>44.884999999999998</v>
      </c>
      <c r="U14" s="199">
        <f t="shared" si="7"/>
        <v>46.664999999999999</v>
      </c>
      <c r="V14" s="199">
        <f t="shared" si="8"/>
        <v>49.521000000000001</v>
      </c>
      <c r="W14" s="199"/>
      <c r="X14" s="199"/>
      <c r="Y14" s="199"/>
    </row>
    <row r="15" spans="1:25" ht="18.75" customHeight="1">
      <c r="A15" s="218" t="s">
        <v>37</v>
      </c>
      <c r="B15" s="64" t="s">
        <v>115</v>
      </c>
      <c r="C15" s="211" t="str">
        <f t="shared" si="2"/>
        <v>CFF 3</v>
      </c>
      <c r="D15" s="60" t="s">
        <v>38</v>
      </c>
      <c r="E15" s="60"/>
      <c r="F15" s="64" t="s">
        <v>17</v>
      </c>
      <c r="G15" s="223">
        <f t="shared" si="0"/>
        <v>3590.7946106734848</v>
      </c>
      <c r="H15" s="223">
        <f t="shared" si="3"/>
        <v>3733.1590842432342</v>
      </c>
      <c r="I15" s="223">
        <f t="shared" si="4"/>
        <v>3961.6547035115245</v>
      </c>
      <c r="J15" s="226"/>
      <c r="K15" s="226"/>
      <c r="L15" s="227"/>
      <c r="M15" s="165"/>
      <c r="N15" s="42"/>
      <c r="O15" s="203">
        <v>109.2</v>
      </c>
      <c r="P15" s="204" t="s">
        <v>144</v>
      </c>
      <c r="Q15" s="204" t="s">
        <v>152</v>
      </c>
      <c r="R15" s="204" t="str">
        <f t="shared" si="5"/>
        <v>04390C</v>
      </c>
      <c r="S15" s="203" t="s">
        <v>38</v>
      </c>
      <c r="T15" s="199">
        <f t="shared" si="1"/>
        <v>32.882999999999996</v>
      </c>
      <c r="U15" s="199">
        <f t="shared" si="7"/>
        <v>34.186999999999998</v>
      </c>
      <c r="V15" s="199">
        <f t="shared" si="8"/>
        <v>36.278999999999996</v>
      </c>
      <c r="W15" s="199"/>
      <c r="X15" s="199"/>
      <c r="Y15" s="199"/>
    </row>
    <row r="16" spans="1:25" ht="18.75" customHeight="1">
      <c r="A16" s="218" t="s">
        <v>41</v>
      </c>
      <c r="B16" s="64" t="s">
        <v>115</v>
      </c>
      <c r="C16" s="211" t="str">
        <f t="shared" si="2"/>
        <v>CFF 4</v>
      </c>
      <c r="D16" s="66" t="s">
        <v>113</v>
      </c>
      <c r="E16" s="60"/>
      <c r="F16" s="64" t="s">
        <v>17</v>
      </c>
      <c r="G16" s="226">
        <f t="shared" si="0"/>
        <v>3675.1075513312967</v>
      </c>
      <c r="H16" s="226">
        <f t="shared" si="3"/>
        <v>3737.3056223083727</v>
      </c>
      <c r="I16" s="226">
        <f t="shared" si="4"/>
        <v>3800.8858726404937</v>
      </c>
      <c r="J16" s="226">
        <f>VLOOKUP($A16,Jan2021Rates,10,0)*PercIncrJuly2021</f>
        <v>3864.4661229726157</v>
      </c>
      <c r="K16" s="226">
        <f>VLOOKUP($A16,Jan2021Rates,11,0)*PercIncrJuly2021</f>
        <v>4100.2077764590076</v>
      </c>
      <c r="L16" s="227"/>
      <c r="M16" s="165"/>
      <c r="N16" s="42"/>
      <c r="O16" s="203">
        <v>109.2</v>
      </c>
      <c r="P16" s="204" t="s">
        <v>144</v>
      </c>
      <c r="Q16" s="204" t="s">
        <v>154</v>
      </c>
      <c r="R16" s="204" t="str">
        <f t="shared" si="5"/>
        <v>04436C</v>
      </c>
      <c r="S16" s="205" t="s">
        <v>113</v>
      </c>
      <c r="T16" s="199">
        <f t="shared" si="1"/>
        <v>33.655000000000001</v>
      </c>
      <c r="U16" s="199">
        <f t="shared" si="7"/>
        <v>34.224999999999994</v>
      </c>
      <c r="V16" s="199">
        <f t="shared" si="8"/>
        <v>34.806999999999995</v>
      </c>
      <c r="W16" s="199">
        <f t="shared" ref="W16:X18" si="9">ROUNDUP(J16/$O16,3)</f>
        <v>35.388999999999996</v>
      </c>
      <c r="X16" s="199">
        <f t="shared" si="9"/>
        <v>37.547999999999995</v>
      </c>
      <c r="Y16" s="199"/>
    </row>
    <row r="17" spans="1:26" ht="18.75" customHeight="1" thickBot="1">
      <c r="A17" s="219" t="s">
        <v>39</v>
      </c>
      <c r="B17" s="220" t="s">
        <v>115</v>
      </c>
      <c r="C17" s="220" t="str">
        <f t="shared" si="2"/>
        <v>CFG 4</v>
      </c>
      <c r="D17" s="221" t="s">
        <v>42</v>
      </c>
      <c r="E17" s="222"/>
      <c r="F17" s="220" t="s">
        <v>17</v>
      </c>
      <c r="G17" s="228">
        <f t="shared" si="0"/>
        <v>3675.1075513312967</v>
      </c>
      <c r="H17" s="228">
        <f t="shared" si="3"/>
        <v>3737.3056223083727</v>
      </c>
      <c r="I17" s="228">
        <f t="shared" si="4"/>
        <v>3800.8858726404937</v>
      </c>
      <c r="J17" s="228">
        <f>VLOOKUP($A17,Jan2021Rates,10,0)*PercIncrJuly2021</f>
        <v>3864.4661229726157</v>
      </c>
      <c r="K17" s="228">
        <f>VLOOKUP($A17,Jan2021Rates,11,0)*PercIncrJuly2021</f>
        <v>4100.2077764590076</v>
      </c>
      <c r="L17" s="229"/>
      <c r="M17" s="165"/>
      <c r="N17" s="42"/>
      <c r="O17" s="203">
        <v>80</v>
      </c>
      <c r="P17" s="204" t="s">
        <v>143</v>
      </c>
      <c r="Q17" s="204" t="s">
        <v>155</v>
      </c>
      <c r="R17" s="204" t="str">
        <f t="shared" si="5"/>
        <v>04435C</v>
      </c>
      <c r="S17" s="203" t="s">
        <v>42</v>
      </c>
      <c r="T17" s="199">
        <f t="shared" si="1"/>
        <v>45.939</v>
      </c>
      <c r="U17" s="199">
        <f t="shared" si="7"/>
        <v>46.716999999999999</v>
      </c>
      <c r="V17" s="199">
        <f t="shared" si="8"/>
        <v>47.512</v>
      </c>
      <c r="W17" s="199">
        <f t="shared" si="9"/>
        <v>48.305999999999997</v>
      </c>
      <c r="X17" s="199">
        <f t="shared" si="9"/>
        <v>51.253</v>
      </c>
      <c r="Y17" s="199"/>
    </row>
    <row r="18" spans="1:26" ht="18.75" customHeight="1" thickBot="1">
      <c r="A18" s="241" t="s">
        <v>280</v>
      </c>
      <c r="B18" s="242" t="s">
        <v>115</v>
      </c>
      <c r="C18" s="245" t="str">
        <f t="shared" si="2"/>
        <v>CFH 1</v>
      </c>
      <c r="D18" s="243" t="s">
        <v>281</v>
      </c>
      <c r="E18" s="244"/>
      <c r="F18" s="242" t="s">
        <v>17</v>
      </c>
      <c r="G18" s="246">
        <f t="shared" si="0"/>
        <v>2555.4775373414345</v>
      </c>
      <c r="H18" s="246">
        <f t="shared" si="3"/>
        <v>2657.6966388350911</v>
      </c>
      <c r="I18" s="246">
        <f t="shared" si="4"/>
        <v>2764.0045043884952</v>
      </c>
      <c r="J18" s="246">
        <f>VLOOKUP($A18,Jan2021Rates,10,0)*PercIncrJuly2021</f>
        <v>2874.5646845640354</v>
      </c>
      <c r="K18" s="246">
        <f>VLOOKUP($A18,Jan2021Rates,11,0)*PercIncrJuly2021</f>
        <v>2989.547271946597</v>
      </c>
      <c r="L18" s="247">
        <f>VLOOKUP($A18,Jan2021Rates,12,0)*PercIncrJuly2021</f>
        <v>3109.1291628244612</v>
      </c>
      <c r="M18" s="165"/>
      <c r="N18" s="42"/>
      <c r="O18" s="203">
        <v>109.2</v>
      </c>
      <c r="P18" s="204" t="s">
        <v>284</v>
      </c>
      <c r="Q18" s="204" t="s">
        <v>235</v>
      </c>
      <c r="R18" s="204" t="str">
        <f t="shared" si="5"/>
        <v>04452C</v>
      </c>
      <c r="S18" s="203" t="s">
        <v>281</v>
      </c>
      <c r="T18" s="199">
        <f t="shared" si="1"/>
        <v>23.402000000000001</v>
      </c>
      <c r="U18" s="199">
        <f t="shared" si="7"/>
        <v>24.338000000000001</v>
      </c>
      <c r="V18" s="199">
        <f t="shared" si="8"/>
        <v>25.312000000000001</v>
      </c>
      <c r="W18" s="199">
        <f t="shared" si="9"/>
        <v>26.324000000000002</v>
      </c>
      <c r="X18" s="199">
        <f t="shared" si="9"/>
        <v>27.377000000000002</v>
      </c>
      <c r="Y18" s="199">
        <f>ROUNDUP(L18/$O18,3)</f>
        <v>28.472000000000001</v>
      </c>
      <c r="Z18" s="248" t="s">
        <v>283</v>
      </c>
    </row>
    <row r="19" spans="1:26" s="98" customFormat="1" ht="27.75" customHeight="1">
      <c r="A19" s="41" t="s">
        <v>107</v>
      </c>
      <c r="B19" s="42"/>
      <c r="C19" s="195"/>
      <c r="D19" s="42"/>
      <c r="E19" s="42"/>
      <c r="F19" s="42"/>
      <c r="G19" s="195"/>
      <c r="H19" s="195"/>
      <c r="I19" s="195"/>
      <c r="J19" s="195"/>
      <c r="K19" s="195"/>
      <c r="L19" s="195"/>
      <c r="M19" s="195"/>
      <c r="N19" s="157"/>
      <c r="O19" s="158"/>
      <c r="Y19" s="42"/>
    </row>
    <row r="20" spans="1:26" s="98" customFormat="1" ht="17.25" customHeight="1">
      <c r="A20" s="50" t="s">
        <v>50</v>
      </c>
      <c r="B20" s="42"/>
      <c r="C20" s="195"/>
      <c r="D20" s="42"/>
      <c r="E20" s="42"/>
      <c r="F20" s="42"/>
      <c r="G20" s="195"/>
      <c r="H20" s="195"/>
      <c r="I20" s="195"/>
      <c r="J20" s="195"/>
      <c r="K20" s="195"/>
      <c r="L20" s="195"/>
      <c r="M20" s="195"/>
      <c r="N20" s="157"/>
      <c r="O20" s="158"/>
      <c r="Y20" s="42"/>
    </row>
    <row r="21" spans="1:26" s="98" customFormat="1" ht="17.25" customHeight="1">
      <c r="A21" s="42" t="s">
        <v>51</v>
      </c>
      <c r="B21" s="42"/>
      <c r="C21" s="195"/>
      <c r="D21" s="42"/>
      <c r="E21" s="42"/>
      <c r="F21" s="42"/>
      <c r="G21" s="195"/>
      <c r="H21" s="195"/>
      <c r="I21" s="195"/>
      <c r="J21" s="195"/>
      <c r="K21" s="195"/>
      <c r="L21" s="195"/>
      <c r="M21" s="195"/>
      <c r="N21" s="157"/>
      <c r="O21" s="158"/>
      <c r="Y21" s="42"/>
    </row>
    <row r="22" spans="1:26" s="98" customFormat="1" ht="17.25" customHeight="1">
      <c r="A22" s="50" t="s">
        <v>52</v>
      </c>
      <c r="B22" s="195"/>
      <c r="C22" s="195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157"/>
      <c r="O22" s="158"/>
      <c r="Y22" s="42"/>
    </row>
    <row r="23" spans="1:26" s="98" customFormat="1" ht="17.25" customHeight="1">
      <c r="A23" s="50"/>
      <c r="B23" s="195"/>
      <c r="C23" s="195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157"/>
      <c r="O23" s="158"/>
      <c r="S23" s="250"/>
      <c r="T23" s="340" t="s">
        <v>278</v>
      </c>
      <c r="U23" s="340"/>
      <c r="Z23" s="42"/>
    </row>
    <row r="24" spans="1:26" ht="27.75" customHeight="1">
      <c r="A24" s="41" t="s">
        <v>136</v>
      </c>
      <c r="B24" s="42" t="s">
        <v>160</v>
      </c>
      <c r="S24" s="250"/>
      <c r="T24" s="197" t="s">
        <v>230</v>
      </c>
      <c r="U24" s="197" t="s">
        <v>231</v>
      </c>
      <c r="Y24" s="98"/>
    </row>
    <row r="25" spans="1:26" ht="17.25" customHeight="1">
      <c r="A25" s="49">
        <f>'January 1, 2021'!A25*1.0175</f>
        <v>17.304996049767286</v>
      </c>
      <c r="B25" s="52" t="s">
        <v>161</v>
      </c>
      <c r="C25" s="52"/>
      <c r="D25" s="319"/>
      <c r="E25" s="52"/>
      <c r="F25" s="52"/>
      <c r="G25" s="52"/>
      <c r="H25" s="52"/>
      <c r="I25" s="52"/>
      <c r="J25" s="52"/>
      <c r="K25" s="52"/>
      <c r="L25" s="52"/>
      <c r="M25" s="52"/>
      <c r="N25" s="160"/>
      <c r="R25" s="105" t="str">
        <f>"Non FF "&amp;B25</f>
        <v>Non FF  7th year of service</v>
      </c>
      <c r="S25" s="251">
        <f>A25</f>
        <v>17.304996049767286</v>
      </c>
      <c r="T25" s="198">
        <f t="shared" ref="T25:T43" si="10">ROUND(A25/109.2,3)</f>
        <v>0.158</v>
      </c>
      <c r="U25" s="199">
        <f t="shared" ref="U25:U43" si="11">ROUND(A25/80,3)</f>
        <v>0.216</v>
      </c>
      <c r="Y25" s="98"/>
    </row>
    <row r="26" spans="1:26" ht="17.25" customHeight="1">
      <c r="A26" s="49">
        <f>'January 1, 2021'!A26*1.0175</f>
        <v>24.54368720783981</v>
      </c>
      <c r="B26" s="52" t="s">
        <v>162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160"/>
      <c r="R26" s="105" t="str">
        <f t="shared" ref="R26:R43" si="12">"Non FF "&amp;B26</f>
        <v>Non FF  8th year of service</v>
      </c>
      <c r="S26" s="251">
        <f t="shared" ref="S26:S43" si="13">A26</f>
        <v>24.54368720783981</v>
      </c>
      <c r="T26" s="198">
        <f t="shared" si="10"/>
        <v>0.22500000000000001</v>
      </c>
      <c r="U26" s="199">
        <f t="shared" si="11"/>
        <v>0.307</v>
      </c>
      <c r="Y26" s="98"/>
    </row>
    <row r="27" spans="1:26" ht="17.25" customHeight="1">
      <c r="A27" s="49">
        <f>'January 1, 2021'!A27*1.0175</f>
        <v>31.782378365912436</v>
      </c>
      <c r="B27" s="52" t="s">
        <v>163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60"/>
      <c r="R27" s="105" t="str">
        <f t="shared" si="12"/>
        <v>Non FF  9th year of service</v>
      </c>
      <c r="S27" s="251">
        <f t="shared" si="13"/>
        <v>31.782378365912436</v>
      </c>
      <c r="T27" s="198">
        <f t="shared" si="10"/>
        <v>0.29099999999999998</v>
      </c>
      <c r="U27" s="199">
        <f t="shared" si="11"/>
        <v>0.39700000000000002</v>
      </c>
      <c r="Y27" s="98"/>
    </row>
    <row r="28" spans="1:26" ht="17.25" customHeight="1">
      <c r="A28" s="49">
        <f>'January 1, 2021'!A28*1.0175</f>
        <v>39.021069523985062</v>
      </c>
      <c r="B28" s="52" t="s">
        <v>164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60"/>
      <c r="R28" s="105" t="str">
        <f t="shared" si="12"/>
        <v>Non FF  10th year of service</v>
      </c>
      <c r="S28" s="251">
        <f t="shared" si="13"/>
        <v>39.021069523985062</v>
      </c>
      <c r="T28" s="198">
        <f t="shared" si="10"/>
        <v>0.35699999999999998</v>
      </c>
      <c r="U28" s="199">
        <f t="shared" si="11"/>
        <v>0.48799999999999999</v>
      </c>
      <c r="Y28" s="98"/>
    </row>
    <row r="29" spans="1:26" ht="17.25" customHeight="1">
      <c r="A29" s="49">
        <f>'January 1, 2021'!A29*1.0175</f>
        <v>46.259760682057596</v>
      </c>
      <c r="B29" s="52" t="s">
        <v>165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60"/>
      <c r="R29" s="105" t="str">
        <f t="shared" si="12"/>
        <v>Non FF  11th year of service</v>
      </c>
      <c r="S29" s="251">
        <f t="shared" si="13"/>
        <v>46.259760682057596</v>
      </c>
      <c r="T29" s="198">
        <f t="shared" si="10"/>
        <v>0.42399999999999999</v>
      </c>
      <c r="U29" s="199">
        <f t="shared" si="11"/>
        <v>0.57799999999999996</v>
      </c>
      <c r="Y29" s="98"/>
    </row>
    <row r="30" spans="1:26" ht="17.25" customHeight="1">
      <c r="A30" s="49">
        <f>'January 1, 2021'!A30*1.0175</f>
        <v>139.81136105894521</v>
      </c>
      <c r="B30" s="52" t="s">
        <v>166</v>
      </c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60"/>
      <c r="R30" s="105" t="str">
        <f t="shared" si="12"/>
        <v>Non FF  12th year of service</v>
      </c>
      <c r="S30" s="251">
        <f t="shared" si="13"/>
        <v>139.81136105894521</v>
      </c>
      <c r="T30" s="198">
        <f t="shared" si="10"/>
        <v>1.28</v>
      </c>
      <c r="U30" s="199">
        <f t="shared" si="11"/>
        <v>1.748</v>
      </c>
      <c r="Y30" s="98"/>
    </row>
    <row r="31" spans="1:26" ht="17.25" customHeight="1">
      <c r="A31" s="49">
        <f>'January 1, 2021'!A31*1.0175</f>
        <v>147.6721272384145</v>
      </c>
      <c r="B31" s="52" t="s">
        <v>167</v>
      </c>
      <c r="R31" s="105" t="str">
        <f t="shared" si="12"/>
        <v>Non FF  13th year of service</v>
      </c>
      <c r="S31" s="251">
        <f t="shared" si="13"/>
        <v>147.6721272384145</v>
      </c>
      <c r="T31" s="198">
        <f t="shared" si="10"/>
        <v>1.3520000000000001</v>
      </c>
      <c r="U31" s="199">
        <f t="shared" si="11"/>
        <v>1.8460000000000001</v>
      </c>
      <c r="Y31" s="98"/>
    </row>
    <row r="32" spans="1:26" ht="17.25" customHeight="1">
      <c r="A32" s="49">
        <f>'January 1, 2021'!A32*1.0175</f>
        <v>155.51875534921552</v>
      </c>
      <c r="B32" s="52" t="s">
        <v>168</v>
      </c>
      <c r="R32" s="105" t="str">
        <f t="shared" si="12"/>
        <v>Non FF  14th year of service</v>
      </c>
      <c r="S32" s="251">
        <f t="shared" si="13"/>
        <v>155.51875534921552</v>
      </c>
      <c r="T32" s="198">
        <f t="shared" si="10"/>
        <v>1.4239999999999999</v>
      </c>
      <c r="U32" s="199">
        <f t="shared" si="11"/>
        <v>1.944</v>
      </c>
      <c r="Y32" s="98"/>
    </row>
    <row r="33" spans="1:25" ht="17.25" customHeight="1">
      <c r="A33" s="49">
        <f>'January 1, 2021'!A33*1.0175</f>
        <v>203.41853199677402</v>
      </c>
      <c r="B33" s="52" t="s">
        <v>169</v>
      </c>
      <c r="R33" s="105" t="str">
        <f t="shared" si="12"/>
        <v>Non FF  15th year of service</v>
      </c>
      <c r="S33" s="251">
        <f t="shared" si="13"/>
        <v>203.41853199677402</v>
      </c>
      <c r="T33" s="198">
        <f t="shared" si="10"/>
        <v>1.863</v>
      </c>
      <c r="U33" s="199">
        <f t="shared" si="11"/>
        <v>2.5430000000000001</v>
      </c>
      <c r="Y33" s="98"/>
    </row>
    <row r="34" spans="1:25" ht="17.25" customHeight="1">
      <c r="A34" s="49">
        <f>'January 1, 2021'!A34*1.0175</f>
        <v>211.26516010757504</v>
      </c>
      <c r="B34" s="52" t="s">
        <v>170</v>
      </c>
      <c r="R34" s="105" t="str">
        <f t="shared" si="12"/>
        <v>Non FF  16th year of service</v>
      </c>
      <c r="S34" s="251">
        <f t="shared" si="13"/>
        <v>211.26516010757504</v>
      </c>
      <c r="T34" s="198">
        <f t="shared" si="10"/>
        <v>1.9350000000000001</v>
      </c>
      <c r="U34" s="199">
        <f t="shared" si="11"/>
        <v>2.641</v>
      </c>
      <c r="Y34" s="98"/>
    </row>
    <row r="35" spans="1:25" ht="17.25" customHeight="1">
      <c r="A35" s="49">
        <f>'January 1, 2021'!A35*1.0175</f>
        <v>219.12592628704436</v>
      </c>
      <c r="B35" s="52" t="s">
        <v>171</v>
      </c>
      <c r="R35" s="105" t="str">
        <f t="shared" si="12"/>
        <v>Non FF  17th year of service</v>
      </c>
      <c r="S35" s="251">
        <f t="shared" si="13"/>
        <v>219.12592628704436</v>
      </c>
      <c r="T35" s="198">
        <f t="shared" si="10"/>
        <v>2.0070000000000001</v>
      </c>
      <c r="U35" s="199">
        <f t="shared" si="11"/>
        <v>2.7389999999999999</v>
      </c>
      <c r="Y35" s="98"/>
    </row>
    <row r="36" spans="1:25" ht="17.25" customHeight="1">
      <c r="A36" s="49">
        <f>'January 1, 2021'!A36*1.0175</f>
        <v>226.98669246651477</v>
      </c>
      <c r="B36" s="52" t="s">
        <v>172</v>
      </c>
      <c r="R36" s="105" t="str">
        <f t="shared" si="12"/>
        <v>Non FF  18th year of service</v>
      </c>
      <c r="S36" s="251">
        <f t="shared" si="13"/>
        <v>226.98669246651477</v>
      </c>
      <c r="T36" s="198">
        <f t="shared" si="10"/>
        <v>2.0790000000000002</v>
      </c>
      <c r="U36" s="199">
        <f t="shared" si="11"/>
        <v>2.8370000000000002</v>
      </c>
      <c r="Y36" s="98"/>
    </row>
    <row r="37" spans="1:25" ht="17.25" customHeight="1">
      <c r="A37" s="49">
        <f>'January 1, 2021'!A37*1.0175</f>
        <v>249.26828868745639</v>
      </c>
      <c r="B37" s="52" t="s">
        <v>173</v>
      </c>
      <c r="R37" s="105" t="str">
        <f t="shared" si="12"/>
        <v>Non FF  19th year of service</v>
      </c>
      <c r="S37" s="251">
        <f t="shared" si="13"/>
        <v>249.26828868745639</v>
      </c>
      <c r="T37" s="198">
        <f t="shared" si="10"/>
        <v>2.2829999999999999</v>
      </c>
      <c r="U37" s="199">
        <f t="shared" si="11"/>
        <v>3.1160000000000001</v>
      </c>
      <c r="Y37" s="98"/>
    </row>
    <row r="38" spans="1:25" ht="17.25" customHeight="1">
      <c r="A38" s="49">
        <f>'January 1, 2021'!A38*1.0175</f>
        <v>313.17235906731577</v>
      </c>
      <c r="B38" s="52" t="s">
        <v>174</v>
      </c>
      <c r="R38" s="105" t="str">
        <f t="shared" si="12"/>
        <v>Non FF  20th year of service</v>
      </c>
      <c r="S38" s="251">
        <f t="shared" si="13"/>
        <v>313.17235906731577</v>
      </c>
      <c r="T38" s="198">
        <f t="shared" si="10"/>
        <v>2.8679999999999999</v>
      </c>
      <c r="U38" s="199">
        <f t="shared" si="11"/>
        <v>3.915</v>
      </c>
      <c r="Y38" s="98"/>
    </row>
    <row r="39" spans="1:25" ht="17.25" customHeight="1">
      <c r="A39" s="49">
        <f>'January 1, 2021'!A39*1.0175</f>
        <v>321.03312524678512</v>
      </c>
      <c r="B39" s="52" t="s">
        <v>175</v>
      </c>
      <c r="R39" s="105" t="str">
        <f t="shared" si="12"/>
        <v>Non FF  21st year of service</v>
      </c>
      <c r="S39" s="251">
        <f t="shared" si="13"/>
        <v>321.03312524678512</v>
      </c>
      <c r="T39" s="198">
        <f t="shared" si="10"/>
        <v>2.94</v>
      </c>
      <c r="U39" s="199">
        <f t="shared" si="11"/>
        <v>4.0129999999999999</v>
      </c>
      <c r="Y39" s="98"/>
    </row>
    <row r="40" spans="1:25" ht="17.25" customHeight="1">
      <c r="A40" s="49">
        <f>'January 1, 2021'!A40*1.0175</f>
        <v>328.89389142625441</v>
      </c>
      <c r="B40" s="52" t="s">
        <v>176</v>
      </c>
      <c r="R40" s="105" t="str">
        <f t="shared" si="12"/>
        <v>Non FF  22nd year of service</v>
      </c>
      <c r="S40" s="251">
        <f t="shared" si="13"/>
        <v>328.89389142625441</v>
      </c>
      <c r="T40" s="198">
        <f t="shared" si="10"/>
        <v>3.012</v>
      </c>
      <c r="U40" s="199">
        <f t="shared" si="11"/>
        <v>4.1109999999999998</v>
      </c>
      <c r="Y40" s="98"/>
    </row>
    <row r="41" spans="1:25" ht="17.25" customHeight="1">
      <c r="A41" s="49">
        <f>'January 1, 2021'!A41*1.0175</f>
        <v>336.75465760572479</v>
      </c>
      <c r="B41" s="52" t="s">
        <v>177</v>
      </c>
      <c r="R41" s="105" t="str">
        <f t="shared" si="12"/>
        <v>Non FF  23rd year of service</v>
      </c>
      <c r="S41" s="251">
        <f t="shared" si="13"/>
        <v>336.75465760572479</v>
      </c>
      <c r="T41" s="198">
        <f t="shared" si="10"/>
        <v>3.0840000000000001</v>
      </c>
      <c r="U41" s="199">
        <f t="shared" si="11"/>
        <v>4.2089999999999996</v>
      </c>
      <c r="Y41" s="98"/>
    </row>
    <row r="42" spans="1:25" ht="17.25" customHeight="1">
      <c r="A42" s="49">
        <f>'January 1, 2021'!A42*1.0175</f>
        <v>344.61542378519408</v>
      </c>
      <c r="B42" s="52" t="s">
        <v>178</v>
      </c>
      <c r="R42" s="105" t="str">
        <f t="shared" si="12"/>
        <v>Non FF  24th year of service</v>
      </c>
      <c r="S42" s="251">
        <f t="shared" si="13"/>
        <v>344.61542378519408</v>
      </c>
      <c r="T42" s="198">
        <f t="shared" si="10"/>
        <v>3.1560000000000001</v>
      </c>
      <c r="U42" s="199">
        <f t="shared" si="11"/>
        <v>4.3079999999999998</v>
      </c>
      <c r="Y42" s="98"/>
    </row>
    <row r="43" spans="1:25" ht="17.25" customHeight="1">
      <c r="A43" s="49">
        <f>'January 1, 2021'!A43*1.0175</f>
        <v>376.48263056311521</v>
      </c>
      <c r="B43" s="52" t="s">
        <v>179</v>
      </c>
      <c r="R43" s="105" t="str">
        <f t="shared" si="12"/>
        <v>Non FF  25th year of service</v>
      </c>
      <c r="S43" s="251">
        <f t="shared" si="13"/>
        <v>376.48263056311521</v>
      </c>
      <c r="T43" s="198">
        <f t="shared" si="10"/>
        <v>3.448</v>
      </c>
      <c r="U43" s="199">
        <f t="shared" si="11"/>
        <v>4.7060000000000004</v>
      </c>
      <c r="Y43" s="98"/>
    </row>
    <row r="44" spans="1:25">
      <c r="A44" s="50"/>
      <c r="B44" s="52"/>
      <c r="R44" s="105"/>
      <c r="S44" s="201"/>
      <c r="T44" s="200"/>
      <c r="U44" s="201"/>
      <c r="Y44" s="98"/>
    </row>
    <row r="45" spans="1:25" ht="27.75" customHeight="1">
      <c r="A45" s="41" t="s">
        <v>136</v>
      </c>
      <c r="B45" s="42" t="s">
        <v>181</v>
      </c>
      <c r="R45" s="105"/>
      <c r="S45" s="250"/>
      <c r="T45" s="197" t="s">
        <v>232</v>
      </c>
      <c r="U45" s="197" t="s">
        <v>233</v>
      </c>
      <c r="Y45" s="98"/>
    </row>
    <row r="46" spans="1:25" ht="17.25" customHeight="1">
      <c r="A46" s="49">
        <f>'January 1, 2021'!A46*1.0175</f>
        <v>17.304996049767286</v>
      </c>
      <c r="B46" s="52" t="s">
        <v>161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160"/>
      <c r="R46" s="105" t="str">
        <f>"FF "&amp;B46</f>
        <v>FF  7th year of service</v>
      </c>
      <c r="S46" s="251">
        <f t="shared" ref="S46:S65" si="14">A46</f>
        <v>17.304996049767286</v>
      </c>
      <c r="T46" s="198">
        <f t="shared" ref="T46:T65" si="15">ROUND(A46/109.2,3)</f>
        <v>0.158</v>
      </c>
      <c r="U46" s="199">
        <f t="shared" ref="U46:U65" si="16">ROUND(A46/80,3)</f>
        <v>0.216</v>
      </c>
      <c r="Y46" s="98"/>
    </row>
    <row r="47" spans="1:25" ht="17.25" customHeight="1">
      <c r="A47" s="49">
        <f>'January 1, 2021'!A47*1.0175</f>
        <v>24.54368720783981</v>
      </c>
      <c r="B47" s="52" t="s">
        <v>162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160"/>
      <c r="R47" s="105" t="str">
        <f t="shared" ref="R47:R65" si="17">"FF "&amp;B47</f>
        <v>FF  8th year of service</v>
      </c>
      <c r="S47" s="251">
        <f t="shared" si="14"/>
        <v>24.54368720783981</v>
      </c>
      <c r="T47" s="198">
        <f t="shared" si="15"/>
        <v>0.22500000000000001</v>
      </c>
      <c r="U47" s="199">
        <f t="shared" si="16"/>
        <v>0.307</v>
      </c>
      <c r="Y47" s="98"/>
    </row>
    <row r="48" spans="1:25" ht="17.25" customHeight="1">
      <c r="A48" s="49">
        <f>'January 1, 2021'!A48*1.0175</f>
        <v>31.782378365912436</v>
      </c>
      <c r="B48" s="52" t="s">
        <v>163</v>
      </c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60"/>
      <c r="R48" s="105" t="str">
        <f t="shared" si="17"/>
        <v>FF  9th year of service</v>
      </c>
      <c r="S48" s="251">
        <f t="shared" si="14"/>
        <v>31.782378365912436</v>
      </c>
      <c r="T48" s="198">
        <f t="shared" si="15"/>
        <v>0.29099999999999998</v>
      </c>
      <c r="U48" s="199">
        <f t="shared" si="16"/>
        <v>0.39700000000000002</v>
      </c>
      <c r="Y48" s="98"/>
    </row>
    <row r="49" spans="1:25" ht="17.25" customHeight="1">
      <c r="A49" s="49">
        <f>'January 1, 2021'!A49*1.0175</f>
        <v>39.021069523985062</v>
      </c>
      <c r="B49" s="52" t="s">
        <v>164</v>
      </c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60"/>
      <c r="R49" s="105" t="str">
        <f t="shared" si="17"/>
        <v>FF  10th year of service</v>
      </c>
      <c r="S49" s="251">
        <f t="shared" si="14"/>
        <v>39.021069523985062</v>
      </c>
      <c r="T49" s="198">
        <f t="shared" si="15"/>
        <v>0.35699999999999998</v>
      </c>
      <c r="U49" s="199">
        <f t="shared" si="16"/>
        <v>0.48799999999999999</v>
      </c>
      <c r="Y49" s="98"/>
    </row>
    <row r="50" spans="1:25" ht="17.25" customHeight="1">
      <c r="A50" s="49">
        <f>'January 1, 2021'!A50*1.0175</f>
        <v>46.259760682057596</v>
      </c>
      <c r="B50" s="52" t="s">
        <v>165</v>
      </c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60"/>
      <c r="R50" s="105" t="str">
        <f t="shared" si="17"/>
        <v>FF  11th year of service</v>
      </c>
      <c r="S50" s="251">
        <f t="shared" si="14"/>
        <v>46.259760682057596</v>
      </c>
      <c r="T50" s="198">
        <f t="shared" si="15"/>
        <v>0.42399999999999999</v>
      </c>
      <c r="U50" s="199">
        <f t="shared" si="16"/>
        <v>0.57799999999999996</v>
      </c>
      <c r="Y50" s="98"/>
    </row>
    <row r="51" spans="1:25" ht="17.25" customHeight="1">
      <c r="A51" s="49">
        <f>'January 1, 2021'!A51*1.0175</f>
        <v>139.81136105894521</v>
      </c>
      <c r="B51" s="52" t="s">
        <v>166</v>
      </c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60"/>
      <c r="R51" s="105" t="str">
        <f t="shared" si="17"/>
        <v>FF  12th year of service</v>
      </c>
      <c r="S51" s="251">
        <f t="shared" si="14"/>
        <v>139.81136105894521</v>
      </c>
      <c r="T51" s="198">
        <f t="shared" si="15"/>
        <v>1.28</v>
      </c>
      <c r="U51" s="199">
        <f t="shared" si="16"/>
        <v>1.748</v>
      </c>
      <c r="Y51" s="98"/>
    </row>
    <row r="52" spans="1:25" ht="17.25" customHeight="1">
      <c r="A52" s="49">
        <f>'January 1, 2021'!A52*1.0175</f>
        <v>147.6721272384145</v>
      </c>
      <c r="B52" s="52" t="s">
        <v>167</v>
      </c>
      <c r="R52" s="105" t="str">
        <f t="shared" si="17"/>
        <v>FF  13th year of service</v>
      </c>
      <c r="S52" s="251">
        <f t="shared" si="14"/>
        <v>147.6721272384145</v>
      </c>
      <c r="T52" s="198">
        <f t="shared" si="15"/>
        <v>1.3520000000000001</v>
      </c>
      <c r="U52" s="199">
        <f t="shared" si="16"/>
        <v>1.8460000000000001</v>
      </c>
      <c r="Y52" s="98"/>
    </row>
    <row r="53" spans="1:25" ht="17.25" customHeight="1">
      <c r="A53" s="49">
        <f>'January 1, 2021'!A53*1.0175</f>
        <v>155.51875534921552</v>
      </c>
      <c r="B53" s="52" t="s">
        <v>168</v>
      </c>
      <c r="R53" s="105" t="str">
        <f t="shared" si="17"/>
        <v>FF  14th year of service</v>
      </c>
      <c r="S53" s="251">
        <f t="shared" si="14"/>
        <v>155.51875534921552</v>
      </c>
      <c r="T53" s="198">
        <f t="shared" si="15"/>
        <v>1.4239999999999999</v>
      </c>
      <c r="U53" s="199">
        <f t="shared" si="16"/>
        <v>1.944</v>
      </c>
      <c r="Y53" s="98"/>
    </row>
    <row r="54" spans="1:25" ht="17.25" customHeight="1">
      <c r="A54" s="49">
        <f>'January 1, 2021'!A54*1.0175</f>
        <v>203.41853199677402</v>
      </c>
      <c r="B54" s="52" t="s">
        <v>169</v>
      </c>
      <c r="R54" s="105" t="str">
        <f t="shared" si="17"/>
        <v>FF  15th year of service</v>
      </c>
      <c r="S54" s="251">
        <f t="shared" si="14"/>
        <v>203.41853199677402</v>
      </c>
      <c r="T54" s="198">
        <f t="shared" si="15"/>
        <v>1.863</v>
      </c>
      <c r="U54" s="199">
        <f t="shared" si="16"/>
        <v>2.5430000000000001</v>
      </c>
      <c r="Y54" s="98"/>
    </row>
    <row r="55" spans="1:25" ht="17.25" customHeight="1">
      <c r="A55" s="49">
        <f>'January 1, 2021'!A55*1.0175</f>
        <v>211.26516010757504</v>
      </c>
      <c r="B55" s="52" t="s">
        <v>170</v>
      </c>
      <c r="R55" s="105" t="str">
        <f t="shared" si="17"/>
        <v>FF  16th year of service</v>
      </c>
      <c r="S55" s="251">
        <f t="shared" si="14"/>
        <v>211.26516010757504</v>
      </c>
      <c r="T55" s="198">
        <f t="shared" si="15"/>
        <v>1.9350000000000001</v>
      </c>
      <c r="U55" s="199">
        <f t="shared" si="16"/>
        <v>2.641</v>
      </c>
      <c r="Y55" s="98"/>
    </row>
    <row r="56" spans="1:25" ht="17.25" customHeight="1">
      <c r="A56" s="49">
        <f>'January 1, 2021'!A56*1.0175</f>
        <v>219.12592628704436</v>
      </c>
      <c r="B56" s="52" t="s">
        <v>171</v>
      </c>
      <c r="R56" s="105" t="str">
        <f t="shared" si="17"/>
        <v>FF  17th year of service</v>
      </c>
      <c r="S56" s="251">
        <f t="shared" si="14"/>
        <v>219.12592628704436</v>
      </c>
      <c r="T56" s="198">
        <f t="shared" si="15"/>
        <v>2.0070000000000001</v>
      </c>
      <c r="U56" s="199">
        <f t="shared" si="16"/>
        <v>2.7389999999999999</v>
      </c>
      <c r="Y56" s="98"/>
    </row>
    <row r="57" spans="1:25" ht="17.25" customHeight="1">
      <c r="A57" s="49">
        <f>'January 1, 2021'!A57*1.0175</f>
        <v>226.98669246651477</v>
      </c>
      <c r="B57" s="52" t="s">
        <v>172</v>
      </c>
      <c r="R57" s="105" t="str">
        <f t="shared" si="17"/>
        <v>FF  18th year of service</v>
      </c>
      <c r="S57" s="251">
        <f t="shared" si="14"/>
        <v>226.98669246651477</v>
      </c>
      <c r="T57" s="198">
        <f t="shared" si="15"/>
        <v>2.0790000000000002</v>
      </c>
      <c r="U57" s="199">
        <f t="shared" si="16"/>
        <v>2.8370000000000002</v>
      </c>
      <c r="Y57" s="98"/>
    </row>
    <row r="58" spans="1:25" ht="17.25" customHeight="1">
      <c r="A58" s="49">
        <f>'January 1, 2021'!A58*1.0175</f>
        <v>249.26828868745639</v>
      </c>
      <c r="B58" s="52" t="s">
        <v>173</v>
      </c>
      <c r="R58" s="105" t="str">
        <f t="shared" si="17"/>
        <v>FF  19th year of service</v>
      </c>
      <c r="S58" s="251">
        <f t="shared" si="14"/>
        <v>249.26828868745639</v>
      </c>
      <c r="T58" s="198">
        <f t="shared" si="15"/>
        <v>2.2829999999999999</v>
      </c>
      <c r="U58" s="199">
        <f t="shared" si="16"/>
        <v>3.1160000000000001</v>
      </c>
      <c r="Y58" s="98"/>
    </row>
    <row r="59" spans="1:25" ht="17.25" customHeight="1">
      <c r="A59" s="49">
        <f>'January 1, 2021'!A59*1.0175</f>
        <v>313.17235906731577</v>
      </c>
      <c r="B59" s="52" t="s">
        <v>174</v>
      </c>
      <c r="R59" s="105" t="str">
        <f t="shared" si="17"/>
        <v>FF  20th year of service</v>
      </c>
      <c r="S59" s="251">
        <f t="shared" si="14"/>
        <v>313.17235906731577</v>
      </c>
      <c r="T59" s="198">
        <f t="shared" si="15"/>
        <v>2.8679999999999999</v>
      </c>
      <c r="U59" s="199">
        <f t="shared" si="16"/>
        <v>3.915</v>
      </c>
      <c r="Y59" s="98"/>
    </row>
    <row r="60" spans="1:25" ht="17.25" customHeight="1">
      <c r="A60" s="49">
        <f>'January 1, 2021'!A60*1.0175</f>
        <v>368.90712694660954</v>
      </c>
      <c r="B60" s="52" t="s">
        <v>175</v>
      </c>
      <c r="R60" s="105" t="str">
        <f t="shared" si="17"/>
        <v>FF  21st year of service</v>
      </c>
      <c r="S60" s="251">
        <f t="shared" si="14"/>
        <v>368.90712694660954</v>
      </c>
      <c r="T60" s="198">
        <f t="shared" si="15"/>
        <v>3.3780000000000001</v>
      </c>
      <c r="U60" s="199">
        <f t="shared" si="16"/>
        <v>4.6109999999999998</v>
      </c>
      <c r="Y60" s="98"/>
    </row>
    <row r="61" spans="1:25" ht="17.25" customHeight="1">
      <c r="A61" s="49">
        <f>'January 1, 2021'!A61*1.0175</f>
        <v>376.767893126079</v>
      </c>
      <c r="B61" s="52" t="s">
        <v>176</v>
      </c>
      <c r="R61" s="105" t="str">
        <f t="shared" si="17"/>
        <v>FF  22nd year of service</v>
      </c>
      <c r="S61" s="251">
        <f t="shared" si="14"/>
        <v>376.767893126079</v>
      </c>
      <c r="T61" s="198">
        <f t="shared" si="15"/>
        <v>3.45</v>
      </c>
      <c r="U61" s="199">
        <f t="shared" si="16"/>
        <v>4.71</v>
      </c>
      <c r="Y61" s="98"/>
    </row>
    <row r="62" spans="1:25" ht="17.25" customHeight="1">
      <c r="A62" s="49">
        <f>'January 1, 2021'!A62*1.0175</f>
        <v>384.62865930554852</v>
      </c>
      <c r="B62" s="52" t="s">
        <v>177</v>
      </c>
      <c r="R62" s="105" t="str">
        <f t="shared" si="17"/>
        <v>FF  23rd year of service</v>
      </c>
      <c r="S62" s="251">
        <f t="shared" si="14"/>
        <v>384.62865930554852</v>
      </c>
      <c r="T62" s="198">
        <f t="shared" si="15"/>
        <v>3.5219999999999998</v>
      </c>
      <c r="U62" s="199">
        <f t="shared" si="16"/>
        <v>4.8079999999999998</v>
      </c>
      <c r="Y62" s="98"/>
    </row>
    <row r="63" spans="1:25" ht="17.25" customHeight="1">
      <c r="A63" s="49">
        <f>'January 1, 2021'!A63*1.0175</f>
        <v>392.48942548501805</v>
      </c>
      <c r="B63" s="52" t="s">
        <v>178</v>
      </c>
      <c r="R63" s="105" t="str">
        <f t="shared" si="17"/>
        <v>FF  24th year of service</v>
      </c>
      <c r="S63" s="251">
        <f t="shared" si="14"/>
        <v>392.48942548501805</v>
      </c>
      <c r="T63" s="198">
        <f t="shared" si="15"/>
        <v>3.5939999999999999</v>
      </c>
      <c r="U63" s="199">
        <f t="shared" si="16"/>
        <v>4.9059999999999997</v>
      </c>
      <c r="Y63" s="98"/>
    </row>
    <row r="64" spans="1:25" ht="17.25" customHeight="1">
      <c r="A64" s="49">
        <f>'January 1, 2021'!A64*1.0175</f>
        <v>424.35663226293917</v>
      </c>
      <c r="B64" s="52" t="s">
        <v>179</v>
      </c>
      <c r="R64" s="105" t="str">
        <f t="shared" si="17"/>
        <v>FF  25th year of service</v>
      </c>
      <c r="S64" s="251">
        <f t="shared" si="14"/>
        <v>424.35663226293917</v>
      </c>
      <c r="T64" s="198">
        <f t="shared" si="15"/>
        <v>3.8860000000000001</v>
      </c>
      <c r="U64" s="199">
        <f t="shared" si="16"/>
        <v>5.3040000000000003</v>
      </c>
      <c r="Y64" s="98"/>
    </row>
    <row r="65" spans="1:26" ht="17.25" customHeight="1">
      <c r="A65" s="49">
        <f>'January 1, 2021'!A65*1.0175</f>
        <v>486.0822804924909</v>
      </c>
      <c r="B65" s="52" t="s">
        <v>180</v>
      </c>
      <c r="R65" s="105" t="str">
        <f t="shared" si="17"/>
        <v>FF 26th year of service</v>
      </c>
      <c r="S65" s="251">
        <f t="shared" si="14"/>
        <v>486.0822804924909</v>
      </c>
      <c r="T65" s="198">
        <f t="shared" si="15"/>
        <v>4.4509999999999996</v>
      </c>
      <c r="U65" s="199">
        <f t="shared" si="16"/>
        <v>6.0759999999999996</v>
      </c>
      <c r="Y65" s="98"/>
    </row>
    <row r="66" spans="1:26" s="98" customFormat="1">
      <c r="A66" s="41"/>
      <c r="B66" s="41"/>
      <c r="C66" s="41"/>
      <c r="D66" s="41"/>
      <c r="E66" s="41"/>
      <c r="F66" s="41"/>
      <c r="G66" s="41"/>
      <c r="H66" s="41"/>
      <c r="I66" s="41"/>
      <c r="J66" s="54"/>
      <c r="K66" s="54"/>
      <c r="L66" s="54"/>
      <c r="M66" s="54"/>
      <c r="N66" s="158"/>
      <c r="O66" s="158"/>
      <c r="P66" s="162"/>
      <c r="Z66" s="42"/>
    </row>
    <row r="67" spans="1:26" s="98" customFormat="1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54"/>
      <c r="N67" s="158"/>
      <c r="O67" s="158"/>
      <c r="P67" s="162"/>
      <c r="Z67" s="42"/>
    </row>
    <row r="68" spans="1:26" s="98" customFormat="1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54"/>
      <c r="N68" s="158"/>
      <c r="O68" s="158"/>
      <c r="P68" s="162"/>
      <c r="Z68" s="42"/>
    </row>
    <row r="69" spans="1:26" s="98" customFormat="1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54"/>
      <c r="N69" s="158"/>
      <c r="O69" s="158"/>
      <c r="P69" s="162"/>
      <c r="Z69" s="42"/>
    </row>
    <row r="70" spans="1:26" s="98" customFormat="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158"/>
      <c r="O70" s="158"/>
      <c r="P70" s="162"/>
      <c r="Z70" s="42"/>
    </row>
    <row r="71" spans="1:26" s="98" customFormat="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158"/>
      <c r="O71" s="158"/>
      <c r="P71" s="162"/>
      <c r="Z71" s="42"/>
    </row>
    <row r="72" spans="1:26" s="98" customFormat="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158"/>
      <c r="O72" s="158"/>
      <c r="P72" s="162"/>
      <c r="Z72" s="42"/>
    </row>
    <row r="73" spans="1:26" s="98" customFormat="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158"/>
      <c r="O73" s="158"/>
      <c r="P73" s="162"/>
      <c r="Z73" s="42"/>
    </row>
    <row r="74" spans="1:26" s="98" customFormat="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158"/>
      <c r="O74" s="158"/>
      <c r="P74" s="162"/>
      <c r="Y74" s="42"/>
    </row>
    <row r="75" spans="1:26" s="98" customFormat="1">
      <c r="A75" s="42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158"/>
      <c r="O75" s="158"/>
      <c r="P75" s="162"/>
      <c r="Y75" s="42"/>
    </row>
    <row r="76" spans="1:26" s="98" customFormat="1">
      <c r="A76" s="41"/>
      <c r="B76" s="5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157"/>
      <c r="O76" s="158"/>
      <c r="Y76" s="42"/>
    </row>
    <row r="77" spans="1:26" s="98" customFormat="1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157"/>
      <c r="O77" s="158"/>
      <c r="Y77" s="42"/>
    </row>
    <row r="78" spans="1:26" s="98" customFormat="1">
      <c r="A78" s="5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157"/>
      <c r="O78" s="158"/>
      <c r="Y78" s="42"/>
    </row>
    <row r="79" spans="1:26" s="98" customFormat="1">
      <c r="A79" s="51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158"/>
      <c r="Y79" s="42"/>
    </row>
    <row r="80" spans="1:26" s="98" customFormat="1">
      <c r="A80" s="51"/>
      <c r="B80" s="329"/>
      <c r="C80" s="329"/>
      <c r="D80" s="329"/>
      <c r="E80" s="329"/>
      <c r="F80" s="329"/>
      <c r="G80" s="329"/>
      <c r="H80" s="329"/>
      <c r="I80" s="329"/>
      <c r="J80" s="329"/>
      <c r="K80" s="329"/>
      <c r="L80" s="329"/>
      <c r="M80" s="329"/>
      <c r="N80" s="329"/>
      <c r="O80" s="163"/>
      <c r="Y80" s="42"/>
    </row>
    <row r="81" spans="1:25" s="98" customFormat="1">
      <c r="A81" s="51"/>
      <c r="B81" s="5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157"/>
      <c r="O81" s="163"/>
      <c r="Y81" s="42"/>
    </row>
    <row r="82" spans="1:25" s="98" customFormat="1">
      <c r="A82" s="51"/>
      <c r="B82" s="5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157"/>
      <c r="O82" s="163"/>
      <c r="Y82" s="42"/>
    </row>
    <row r="83" spans="1:25" s="98" customFormat="1">
      <c r="A83" s="51"/>
      <c r="B83" s="5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157"/>
      <c r="O83" s="163"/>
      <c r="Y83" s="42"/>
    </row>
    <row r="84" spans="1:25" s="98" customFormat="1">
      <c r="A84" s="51"/>
      <c r="B84" s="5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157"/>
      <c r="O84" s="163"/>
      <c r="Y84" s="42"/>
    </row>
    <row r="85" spans="1:25" s="98" customFormat="1">
      <c r="A85" s="51"/>
      <c r="B85" s="5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157"/>
      <c r="O85" s="163"/>
      <c r="Y85" s="42"/>
    </row>
    <row r="86" spans="1:25" s="98" customFormat="1">
      <c r="A86" s="51"/>
      <c r="B86" s="5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157"/>
      <c r="O86" s="163"/>
      <c r="Y86" s="42"/>
    </row>
    <row r="87" spans="1:25" s="98" customFormat="1">
      <c r="A87" s="51"/>
      <c r="B87" s="5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157"/>
      <c r="O87" s="163"/>
      <c r="Y87" s="42"/>
    </row>
    <row r="88" spans="1:25" s="98" customFormat="1">
      <c r="A88" s="51"/>
      <c r="B88" s="5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157"/>
      <c r="O88" s="163"/>
      <c r="Y88" s="42"/>
    </row>
    <row r="89" spans="1:25" s="98" customFormat="1">
      <c r="A89" s="51"/>
      <c r="B89" s="5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157"/>
      <c r="O89" s="163"/>
      <c r="Y89" s="42"/>
    </row>
    <row r="90" spans="1:25" s="98" customFormat="1">
      <c r="A90" s="51"/>
      <c r="B90" s="5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157"/>
      <c r="O90" s="163"/>
      <c r="Y90" s="42"/>
    </row>
    <row r="91" spans="1:25" s="98" customFormat="1">
      <c r="A91" s="51"/>
      <c r="B91" s="5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157"/>
      <c r="O91" s="163"/>
      <c r="Y91" s="42"/>
    </row>
    <row r="92" spans="1:25" s="98" customFormat="1">
      <c r="A92" s="51"/>
      <c r="B92" s="5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157"/>
      <c r="O92" s="163"/>
      <c r="Y92" s="42"/>
    </row>
    <row r="93" spans="1:25" s="98" customFormat="1">
      <c r="A93" s="51"/>
      <c r="B93" s="5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157"/>
      <c r="O93" s="163"/>
      <c r="Y93" s="42"/>
    </row>
    <row r="94" spans="1:25" s="98" customFormat="1">
      <c r="A94" s="42"/>
      <c r="B94" s="5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157"/>
      <c r="O94" s="163"/>
      <c r="Y94" s="42"/>
    </row>
    <row r="95" spans="1:25" s="98" customFormat="1">
      <c r="A95" s="42"/>
      <c r="B95" s="5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157"/>
      <c r="O95" s="163"/>
      <c r="Y95" s="42"/>
    </row>
    <row r="96" spans="1:25" s="98" customFormat="1">
      <c r="A96" s="42"/>
      <c r="B96" s="5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157"/>
      <c r="O96" s="158"/>
      <c r="Y96" s="42"/>
    </row>
    <row r="97" spans="1:25" s="98" customFormat="1">
      <c r="A97" s="42"/>
      <c r="B97" s="5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157"/>
      <c r="O97" s="158"/>
      <c r="Y97" s="42"/>
    </row>
  </sheetData>
  <sheetProtection sheet="1" objects="1" scenarios="1"/>
  <mergeCells count="4">
    <mergeCell ref="B79:N79"/>
    <mergeCell ref="B80:N80"/>
    <mergeCell ref="T23:U23"/>
    <mergeCell ref="F2:L2"/>
  </mergeCells>
  <phoneticPr fontId="3" type="noConversion"/>
  <pageMargins left="0.25" right="0.25" top="0.75" bottom="0.75" header="0.3" footer="0.3"/>
  <pageSetup orientation="landscape" r:id="rId1"/>
  <headerFooter alignWithMargins="0"/>
  <rowBreaks count="2" manualBreakCount="2">
    <brk id="23" max="16383" man="1"/>
    <brk id="50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131D-2BA3-4086-9543-098B0E78CFB4}">
  <sheetPr codeName="Sheet25"/>
  <dimension ref="A1:AJ101"/>
  <sheetViews>
    <sheetView showGridLines="0" workbookViewId="0">
      <selection activeCell="N15" sqref="N15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8.140625" style="42" customWidth="1"/>
    <col min="4" max="4" width="25.42578125" style="42" hidden="1" customWidth="1"/>
    <col min="5" max="5" width="10.5703125" style="42" hidden="1" customWidth="1"/>
    <col min="6" max="6" width="6.42578125" style="42" hidden="1" customWidth="1"/>
    <col min="7" max="7" width="6.5703125" style="42" customWidth="1"/>
    <col min="8" max="8" width="10.5703125" style="42" bestFit="1" customWidth="1"/>
    <col min="9" max="11" width="6.5703125" style="42" customWidth="1"/>
    <col min="12" max="12" width="6.5703125" style="42" bestFit="1" customWidth="1"/>
    <col min="13" max="13" width="6.42578125" style="42" customWidth="1"/>
    <col min="14" max="14" width="46.42578125" style="157" customWidth="1"/>
    <col min="15" max="15" width="23.85546875" style="281" hidden="1" customWidth="1"/>
    <col min="16" max="16" width="14.85546875" style="282" hidden="1" customWidth="1"/>
    <col min="17" max="17" width="11.5703125" style="282" hidden="1" customWidth="1"/>
    <col min="18" max="18" width="7.85546875" style="282" hidden="1" customWidth="1"/>
    <col min="19" max="19" width="24.42578125" style="285" hidden="1" customWidth="1"/>
    <col min="20" max="20" width="25.42578125" style="282" hidden="1" customWidth="1"/>
    <col min="21" max="21" width="9.42578125" style="282" hidden="1" customWidth="1"/>
    <col min="22" max="25" width="7.42578125" style="282" hidden="1" customWidth="1"/>
    <col min="26" max="26" width="7.42578125" style="286" hidden="1" customWidth="1"/>
    <col min="27" max="27" width="31.140625" style="42" hidden="1" customWidth="1"/>
    <col min="28" max="28" width="24.42578125" style="254" hidden="1" customWidth="1"/>
    <col min="29" max="29" width="5.85546875" style="254" hidden="1" customWidth="1"/>
    <col min="30" max="30" width="32.140625" style="254" hidden="1" customWidth="1"/>
    <col min="31" max="31" width="9.42578125" style="254" hidden="1" customWidth="1"/>
    <col min="32" max="36" width="7.42578125" style="254" hidden="1" customWidth="1"/>
    <col min="37" max="39" width="0" style="42" hidden="1" customWidth="1"/>
    <col min="40" max="16384" width="9.140625" style="42"/>
  </cols>
  <sheetData>
    <row r="1" spans="1:36" ht="15.75">
      <c r="A1" s="301" t="s">
        <v>140</v>
      </c>
      <c r="B1" s="207"/>
      <c r="C1" s="207"/>
      <c r="D1" s="207"/>
      <c r="E1" s="208"/>
      <c r="F1" s="162"/>
      <c r="G1" s="230"/>
      <c r="H1" s="162"/>
      <c r="I1" s="98"/>
      <c r="J1" s="98"/>
      <c r="K1" s="98"/>
      <c r="L1" s="98"/>
      <c r="M1" s="98"/>
      <c r="O1" s="281" t="s">
        <v>288</v>
      </c>
      <c r="P1" s="282" t="s">
        <v>290</v>
      </c>
      <c r="Q1" s="283" t="s">
        <v>292</v>
      </c>
      <c r="R1" s="284">
        <v>1.0249999999999999</v>
      </c>
    </row>
    <row r="2" spans="1:36" ht="15.75">
      <c r="A2" s="302" t="s">
        <v>305</v>
      </c>
      <c r="B2" s="158"/>
      <c r="C2" s="158"/>
      <c r="D2" s="162"/>
      <c r="E2" s="162"/>
      <c r="F2" s="341" t="s">
        <v>80</v>
      </c>
      <c r="G2" s="341"/>
      <c r="H2" s="341"/>
      <c r="I2" s="341"/>
      <c r="J2" s="341"/>
      <c r="K2" s="341"/>
      <c r="L2" s="341"/>
      <c r="M2" s="162"/>
      <c r="N2" s="158"/>
      <c r="U2" s="282">
        <v>3</v>
      </c>
      <c r="V2" s="282">
        <v>4</v>
      </c>
      <c r="W2" s="282">
        <v>5</v>
      </c>
      <c r="X2" s="282">
        <v>6</v>
      </c>
      <c r="Y2" s="282">
        <v>7</v>
      </c>
      <c r="Z2" s="286">
        <v>8</v>
      </c>
    </row>
    <row r="3" spans="1:36">
      <c r="A3" s="303" t="str">
        <f>"Increase %: "&amp;TEXT(R1-1,"0.00%")</f>
        <v>Increase %: 2.50%</v>
      </c>
      <c r="B3" s="158"/>
      <c r="C3" s="158"/>
      <c r="D3" s="162"/>
      <c r="E3" s="162"/>
      <c r="F3" s="233"/>
      <c r="G3" s="233"/>
      <c r="H3" s="233"/>
      <c r="I3" s="233"/>
      <c r="J3" s="233"/>
      <c r="K3" s="233"/>
      <c r="L3" s="233"/>
      <c r="M3" s="162"/>
      <c r="N3" s="158"/>
    </row>
    <row r="4" spans="1:36">
      <c r="A4" s="252" t="s">
        <v>307</v>
      </c>
      <c r="B4" s="158"/>
      <c r="C4" s="158"/>
      <c r="D4" s="162"/>
      <c r="E4" s="162"/>
      <c r="F4" s="233"/>
      <c r="G4" s="233"/>
      <c r="H4" s="233"/>
      <c r="I4" s="233"/>
      <c r="J4" s="233"/>
      <c r="K4" s="233"/>
      <c r="L4" s="233"/>
      <c r="M4" s="162"/>
      <c r="N4" s="158"/>
    </row>
    <row r="5" spans="1:36" ht="15.75" thickBot="1">
      <c r="A5" s="252"/>
      <c r="B5" s="158"/>
      <c r="C5" s="158"/>
      <c r="D5" s="162"/>
      <c r="E5" s="162"/>
      <c r="F5" s="233"/>
      <c r="G5" s="233"/>
      <c r="H5" s="233"/>
      <c r="I5" s="233"/>
      <c r="J5" s="233"/>
      <c r="K5" s="233"/>
      <c r="L5" s="233"/>
      <c r="M5" s="162"/>
      <c r="N5" s="158"/>
      <c r="O5" s="294" t="s">
        <v>301</v>
      </c>
      <c r="AB5" s="304" t="s">
        <v>302</v>
      </c>
    </row>
    <row r="6" spans="1:36" ht="15.75" thickBot="1">
      <c r="A6" s="233"/>
      <c r="B6" s="158"/>
      <c r="C6" s="158"/>
      <c r="D6" s="162"/>
      <c r="E6" s="162"/>
      <c r="F6" s="233"/>
      <c r="G6" s="344" t="s">
        <v>300</v>
      </c>
      <c r="H6" s="345"/>
      <c r="I6" s="345"/>
      <c r="J6" s="345"/>
      <c r="K6" s="345"/>
      <c r="L6" s="346"/>
      <c r="M6" s="162"/>
      <c r="N6" s="158"/>
    </row>
    <row r="7" spans="1:36" ht="30" customHeight="1" thickBot="1">
      <c r="A7" s="213" t="s">
        <v>137</v>
      </c>
      <c r="B7" s="214" t="s">
        <v>114</v>
      </c>
      <c r="C7" s="214" t="s">
        <v>138</v>
      </c>
      <c r="D7" s="215" t="s">
        <v>4</v>
      </c>
      <c r="E7" s="215" t="s">
        <v>5</v>
      </c>
      <c r="F7" s="305" t="s">
        <v>6</v>
      </c>
      <c r="G7" s="311" t="s">
        <v>7</v>
      </c>
      <c r="H7" s="312" t="s">
        <v>8</v>
      </c>
      <c r="I7" s="312" t="s">
        <v>9</v>
      </c>
      <c r="J7" s="312" t="s">
        <v>10</v>
      </c>
      <c r="K7" s="312" t="s">
        <v>11</v>
      </c>
      <c r="L7" s="313" t="s">
        <v>12</v>
      </c>
      <c r="M7" s="159"/>
      <c r="N7" s="42"/>
      <c r="O7" s="287" t="s">
        <v>285</v>
      </c>
      <c r="P7" s="287" t="s">
        <v>277</v>
      </c>
      <c r="Q7" s="287" t="s">
        <v>138</v>
      </c>
      <c r="R7" s="287" t="s">
        <v>286</v>
      </c>
      <c r="S7" s="287" t="s">
        <v>137</v>
      </c>
      <c r="T7" s="288" t="s">
        <v>279</v>
      </c>
      <c r="U7" s="288" t="s">
        <v>7</v>
      </c>
      <c r="V7" s="288" t="s">
        <v>8</v>
      </c>
      <c r="W7" s="288" t="s">
        <v>9</v>
      </c>
      <c r="X7" s="288" t="s">
        <v>10</v>
      </c>
      <c r="Y7" s="288" t="s">
        <v>11</v>
      </c>
      <c r="Z7" s="288" t="s">
        <v>12</v>
      </c>
      <c r="AB7" s="253" t="s">
        <v>137</v>
      </c>
      <c r="AC7" s="202" t="s">
        <v>138</v>
      </c>
      <c r="AD7" s="234" t="s">
        <v>279</v>
      </c>
      <c r="AE7" s="234" t="s">
        <v>7</v>
      </c>
      <c r="AF7" s="234" t="s">
        <v>8</v>
      </c>
      <c r="AG7" s="234" t="s">
        <v>9</v>
      </c>
      <c r="AH7" s="234" t="s">
        <v>10</v>
      </c>
      <c r="AI7" s="234" t="s">
        <v>11</v>
      </c>
      <c r="AJ7" s="234" t="s">
        <v>12</v>
      </c>
    </row>
    <row r="8" spans="1:36" ht="18.75" customHeight="1">
      <c r="A8" s="217" t="s">
        <v>157</v>
      </c>
      <c r="B8" s="211" t="s">
        <v>115</v>
      </c>
      <c r="C8" s="211" t="str">
        <f>Q8</f>
        <v>CFG 5</v>
      </c>
      <c r="D8" s="212" t="s">
        <v>84</v>
      </c>
      <c r="E8" s="209"/>
      <c r="F8" s="306" t="s">
        <v>17</v>
      </c>
      <c r="G8" s="314">
        <f ca="1">U8*$O8</f>
        <v>1833.6019999999999</v>
      </c>
      <c r="H8" s="315"/>
      <c r="I8" s="315"/>
      <c r="J8" s="315"/>
      <c r="K8" s="315"/>
      <c r="L8" s="316"/>
      <c r="M8" s="159"/>
      <c r="N8" s="42"/>
      <c r="O8" s="289">
        <v>80</v>
      </c>
      <c r="P8" s="290" t="s">
        <v>143</v>
      </c>
      <c r="Q8" s="291" t="s">
        <v>156</v>
      </c>
      <c r="R8" s="291" t="s">
        <v>287</v>
      </c>
      <c r="S8" s="291" t="str">
        <f t="shared" ref="S8:S21" si="0">A8</f>
        <v>04440C</v>
      </c>
      <c r="T8" s="289" t="s">
        <v>84</v>
      </c>
      <c r="U8" s="292" cm="1">
        <f t="array" aca="1" ref="U8" ca="1">IF($R8="Y",VLOOKUP($S8,INDIRECT($P$1),U$2,0)*INDIRECT($Q$1),VLOOKUP($S8,INDIRECT($P$1),U$2,0))</f>
        <v>22.920024999999999</v>
      </c>
      <c r="V8" s="292"/>
      <c r="W8" s="292"/>
      <c r="X8" s="292"/>
      <c r="Y8" s="292"/>
      <c r="Z8" s="292"/>
      <c r="AB8" s="203" t="str">
        <f>S8</f>
        <v>04440C</v>
      </c>
      <c r="AC8" s="203" t="str">
        <f t="shared" ref="AC8:AC21" si="1">C8</f>
        <v>CFG 5</v>
      </c>
      <c r="AD8" s="203" t="str">
        <f>T8</f>
        <v>Fire Cadet</v>
      </c>
      <c r="AE8" s="255">
        <f ca="1">ROUND(U8,3)</f>
        <v>22.92</v>
      </c>
      <c r="AF8" s="203"/>
      <c r="AG8" s="203"/>
      <c r="AH8" s="203"/>
      <c r="AI8" s="203"/>
      <c r="AJ8" s="203"/>
    </row>
    <row r="9" spans="1:36" ht="18.75" customHeight="1">
      <c r="A9" s="218" t="s">
        <v>15</v>
      </c>
      <c r="B9" s="64" t="s">
        <v>115</v>
      </c>
      <c r="C9" s="211" t="str">
        <f t="shared" ref="C9:C21" si="2">Q9</f>
        <v>CFH 1</v>
      </c>
      <c r="D9" s="60" t="s">
        <v>16</v>
      </c>
      <c r="E9" s="60">
        <v>353</v>
      </c>
      <c r="F9" s="307" t="s">
        <v>17</v>
      </c>
      <c r="G9" s="309">
        <f ca="1">U9*$O9</f>
        <v>2619.3858599999999</v>
      </c>
      <c r="H9" s="226">
        <f t="shared" ref="H9:L9" ca="1" si="3">V9*$O9</f>
        <v>2724.1523400000001</v>
      </c>
      <c r="I9" s="226">
        <f t="shared" ca="1" si="3"/>
        <v>2833.1721599999996</v>
      </c>
      <c r="J9" s="226">
        <f t="shared" ca="1" si="3"/>
        <v>2946.4453199999998</v>
      </c>
      <c r="K9" s="226">
        <f t="shared" ca="1" si="3"/>
        <v>3064.3076099999998</v>
      </c>
      <c r="L9" s="227">
        <f t="shared" ca="1" si="3"/>
        <v>3186.8709599999997</v>
      </c>
      <c r="M9" s="165"/>
      <c r="N9" s="42"/>
      <c r="O9" s="289">
        <v>109.2</v>
      </c>
      <c r="P9" s="291" t="s">
        <v>144</v>
      </c>
      <c r="Q9" s="291" t="s">
        <v>235</v>
      </c>
      <c r="R9" s="291" t="s">
        <v>287</v>
      </c>
      <c r="S9" s="291" t="str">
        <f t="shared" si="0"/>
        <v>04450C</v>
      </c>
      <c r="T9" s="289" t="s">
        <v>16</v>
      </c>
      <c r="U9" s="292" cm="1">
        <f t="array" aca="1" ref="U9" ca="1">IF($R9="Y",VLOOKUP($S9,INDIRECT($P$1),U$2,0)*INDIRECT($Q$1),VLOOKUP($S9,INDIRECT($P$1),U$2,0))</f>
        <v>23.98705</v>
      </c>
      <c r="V9" s="292" cm="1">
        <f t="array" aca="1" ref="V9" ca="1">IF($R9="Y",VLOOKUP($S9,INDIRECT($P$1),V$2,0)*INDIRECT($Q$1),VLOOKUP($S9,INDIRECT($P$1),V$2,0))</f>
        <v>24.946449999999999</v>
      </c>
      <c r="W9" s="292" cm="1">
        <f t="array" aca="1" ref="W9" ca="1">IF($R9="Y",VLOOKUP($S9,INDIRECT($P$1),W$2,0)*INDIRECT($Q$1),VLOOKUP($S9,INDIRECT($P$1),W$2,0))</f>
        <v>25.944799999999997</v>
      </c>
      <c r="X9" s="292" cm="1">
        <f t="array" aca="1" ref="X9" ca="1">IF($R9="Y",VLOOKUP($S9,INDIRECT($P$1),X$2,0)*INDIRECT($Q$1),VLOOKUP($S9,INDIRECT($P$1),X$2,0))</f>
        <v>26.982099999999999</v>
      </c>
      <c r="Y9" s="292" cm="1">
        <f t="array" aca="1" ref="Y9" ca="1">IF($R9="Y",VLOOKUP($S9,INDIRECT($P$1),Y$2,0)*INDIRECT($Q$1),VLOOKUP($S9,INDIRECT($P$1),Y$2,0))</f>
        <v>28.061425</v>
      </c>
      <c r="Z9" s="292" cm="1">
        <f t="array" aca="1" ref="Z9" ca="1">IF($R9="Y",VLOOKUP($S9,INDIRECT($P$1),Z$2,0)*INDIRECT($Q$1),VLOOKUP($S9,INDIRECT($P$1),Z$2,0))</f>
        <v>29.183799999999998</v>
      </c>
      <c r="AB9" s="203" t="str">
        <f>S9</f>
        <v>04450C</v>
      </c>
      <c r="AC9" s="203" t="str">
        <f t="shared" si="1"/>
        <v>CFH 1</v>
      </c>
      <c r="AD9" s="203" t="str">
        <f>T9</f>
        <v>Fire Fighter</v>
      </c>
      <c r="AE9" s="255">
        <f ca="1">ROUND(U9,3)</f>
        <v>23.986999999999998</v>
      </c>
      <c r="AF9" s="255">
        <f t="shared" ref="AF9:AJ22" ca="1" si="4">ROUND(V9,3)</f>
        <v>24.946000000000002</v>
      </c>
      <c r="AG9" s="255">
        <f t="shared" ca="1" si="4"/>
        <v>25.945</v>
      </c>
      <c r="AH9" s="255">
        <f t="shared" ca="1" si="4"/>
        <v>26.981999999999999</v>
      </c>
      <c r="AI9" s="255">
        <f t="shared" ca="1" si="4"/>
        <v>28.061</v>
      </c>
      <c r="AJ9" s="255">
        <f t="shared" ca="1" si="4"/>
        <v>29.184000000000001</v>
      </c>
    </row>
    <row r="10" spans="1:36" ht="18.75" customHeight="1">
      <c r="A10" s="218" t="s">
        <v>19</v>
      </c>
      <c r="B10" s="64" t="s">
        <v>115</v>
      </c>
      <c r="C10" s="211" t="str">
        <f t="shared" si="2"/>
        <v>CFI 1</v>
      </c>
      <c r="D10" s="60" t="s">
        <v>20</v>
      </c>
      <c r="E10" s="60">
        <v>353</v>
      </c>
      <c r="F10" s="307" t="s">
        <v>17</v>
      </c>
      <c r="G10" s="309">
        <f t="shared" ref="G10:G11" ca="1" si="5">U10*$O10</f>
        <v>2619.4080000000004</v>
      </c>
      <c r="H10" s="226">
        <f t="shared" ref="H10:H11" ca="1" si="6">V10*$O10</f>
        <v>2724.2039999999993</v>
      </c>
      <c r="I10" s="226">
        <f t="shared" ref="I10:I11" ca="1" si="7">W10*$O10</f>
        <v>2833.1819999999993</v>
      </c>
      <c r="J10" s="226">
        <f t="shared" ref="J10:J11" ca="1" si="8">X10*$O10</f>
        <v>2946.5059999999999</v>
      </c>
      <c r="K10" s="226">
        <f t="shared" ref="K10:K11" ca="1" si="9">Y10*$O10</f>
        <v>3064.3399999999997</v>
      </c>
      <c r="L10" s="227">
        <f t="shared" ref="L10:L11" ca="1" si="10">Z10*$O10</f>
        <v>3186.9299999999994</v>
      </c>
      <c r="M10" s="165"/>
      <c r="N10" s="42"/>
      <c r="O10" s="289">
        <v>80</v>
      </c>
      <c r="P10" s="291" t="s">
        <v>143</v>
      </c>
      <c r="Q10" s="291" t="s">
        <v>234</v>
      </c>
      <c r="R10" s="291" t="s">
        <v>287</v>
      </c>
      <c r="S10" s="291" t="str">
        <f t="shared" si="0"/>
        <v>04451C</v>
      </c>
      <c r="T10" s="289" t="s">
        <v>20</v>
      </c>
      <c r="U10" s="292" cm="1">
        <f t="array" aca="1" ref="U10" ca="1">IF($R10="Y",VLOOKUP($S10,INDIRECT($P$1),U$2,0)*INDIRECT($Q$1),VLOOKUP($S10,INDIRECT($P$1),U$2,0))</f>
        <v>32.742600000000003</v>
      </c>
      <c r="V10" s="292" cm="1">
        <f t="array" aca="1" ref="V10" ca="1">IF($R10="Y",VLOOKUP($S10,INDIRECT($P$1),V$2,0)*INDIRECT($Q$1),VLOOKUP($S10,INDIRECT($P$1),V$2,0))</f>
        <v>34.052549999999989</v>
      </c>
      <c r="W10" s="292" cm="1">
        <f t="array" aca="1" ref="W10" ca="1">IF($R10="Y",VLOOKUP($S10,INDIRECT($P$1),W$2,0)*INDIRECT($Q$1),VLOOKUP($S10,INDIRECT($P$1),W$2,0))</f>
        <v>35.414774999999992</v>
      </c>
      <c r="X10" s="292" cm="1">
        <f t="array" aca="1" ref="X10" ca="1">IF($R10="Y",VLOOKUP($S10,INDIRECT($P$1),X$2,0)*INDIRECT($Q$1),VLOOKUP($S10,INDIRECT($P$1),X$2,0))</f>
        <v>36.831325</v>
      </c>
      <c r="Y10" s="292" cm="1">
        <f t="array" aca="1" ref="Y10" ca="1">IF($R10="Y",VLOOKUP($S10,INDIRECT($P$1),Y$2,0)*INDIRECT($Q$1),VLOOKUP($S10,INDIRECT($P$1),Y$2,0))</f>
        <v>38.304249999999996</v>
      </c>
      <c r="Z10" s="292" cm="1">
        <f t="array" aca="1" ref="Z10" ca="1">IF($R10="Y",VLOOKUP($S10,INDIRECT($P$1),Z$2,0)*INDIRECT($Q$1),VLOOKUP($S10,INDIRECT($P$1),Z$2,0))</f>
        <v>39.836624999999991</v>
      </c>
      <c r="AB10" s="203" t="str">
        <f t="shared" ref="AB10:AB22" si="11">S10</f>
        <v>04451C</v>
      </c>
      <c r="AC10" s="203" t="str">
        <f t="shared" si="1"/>
        <v>CFI 1</v>
      </c>
      <c r="AD10" s="203" t="str">
        <f t="shared" ref="AD10:AD22" si="12">T10</f>
        <v>Fire Fighter (40 hrs.)</v>
      </c>
      <c r="AE10" s="255">
        <f t="shared" ref="AE10:AE22" ca="1" si="13">ROUND(U10,3)</f>
        <v>32.743000000000002</v>
      </c>
      <c r="AF10" s="255">
        <f t="shared" ca="1" si="4"/>
        <v>34.052999999999997</v>
      </c>
      <c r="AG10" s="255">
        <f t="shared" ca="1" si="4"/>
        <v>35.414999999999999</v>
      </c>
      <c r="AH10" s="255">
        <f t="shared" ca="1" si="4"/>
        <v>36.831000000000003</v>
      </c>
      <c r="AI10" s="255">
        <f t="shared" ca="1" si="4"/>
        <v>38.304000000000002</v>
      </c>
      <c r="AJ10" s="255">
        <f t="shared" ca="1" si="4"/>
        <v>39.837000000000003</v>
      </c>
    </row>
    <row r="11" spans="1:36" ht="18.75" customHeight="1">
      <c r="A11" s="218" t="s">
        <v>21</v>
      </c>
      <c r="B11" s="64" t="s">
        <v>115</v>
      </c>
      <c r="C11" s="211" t="str">
        <f t="shared" si="2"/>
        <v>CFF 1</v>
      </c>
      <c r="D11" s="60" t="s">
        <v>22</v>
      </c>
      <c r="E11" s="60"/>
      <c r="F11" s="307" t="s">
        <v>17</v>
      </c>
      <c r="G11" s="309">
        <f t="shared" ca="1" si="5"/>
        <v>2619.3858599999999</v>
      </c>
      <c r="H11" s="226">
        <f t="shared" ca="1" si="6"/>
        <v>2724.1523400000001</v>
      </c>
      <c r="I11" s="226">
        <f t="shared" ca="1" si="7"/>
        <v>2833.1721599999996</v>
      </c>
      <c r="J11" s="226">
        <f t="shared" ca="1" si="8"/>
        <v>2946.4453199999998</v>
      </c>
      <c r="K11" s="226">
        <f t="shared" ca="1" si="9"/>
        <v>3064.3076099999998</v>
      </c>
      <c r="L11" s="227">
        <f t="shared" ca="1" si="10"/>
        <v>3186.8709599999997</v>
      </c>
      <c r="M11" s="165"/>
      <c r="N11" s="42"/>
      <c r="O11" s="289">
        <v>109.2</v>
      </c>
      <c r="P11" s="291" t="s">
        <v>144</v>
      </c>
      <c r="Q11" s="291" t="s">
        <v>148</v>
      </c>
      <c r="R11" s="291" t="s">
        <v>287</v>
      </c>
      <c r="S11" s="291" t="str">
        <f t="shared" si="0"/>
        <v>04388C</v>
      </c>
      <c r="T11" s="289" t="s">
        <v>22</v>
      </c>
      <c r="U11" s="292" cm="1">
        <f t="array" aca="1" ref="U11" ca="1">IF($R11="Y",VLOOKUP($S11,INDIRECT($P$1),U$2,0)*INDIRECT($Q$1),VLOOKUP($S11,INDIRECT($P$1),U$2,0))</f>
        <v>23.98705</v>
      </c>
      <c r="V11" s="292" cm="1">
        <f t="array" aca="1" ref="V11" ca="1">IF($R11="Y",VLOOKUP($S11,INDIRECT($P$1),V$2,0)*INDIRECT($Q$1),VLOOKUP($S11,INDIRECT($P$1),V$2,0))</f>
        <v>24.946449999999999</v>
      </c>
      <c r="W11" s="292" cm="1">
        <f t="array" aca="1" ref="W11" ca="1">IF($R11="Y",VLOOKUP($S11,INDIRECT($P$1),W$2,0)*INDIRECT($Q$1),VLOOKUP($S11,INDIRECT($P$1),W$2,0))</f>
        <v>25.944799999999997</v>
      </c>
      <c r="X11" s="292" cm="1">
        <f t="array" aca="1" ref="X11" ca="1">IF($R11="Y",VLOOKUP($S11,INDIRECT($P$1),X$2,0)*INDIRECT($Q$1),VLOOKUP($S11,INDIRECT($P$1),X$2,0))</f>
        <v>26.982099999999999</v>
      </c>
      <c r="Y11" s="292" cm="1">
        <f t="array" aca="1" ref="Y11" ca="1">IF($R11="Y",VLOOKUP($S11,INDIRECT($P$1),Y$2,0)*INDIRECT($Q$1),VLOOKUP($S11,INDIRECT($P$1),Y$2,0))</f>
        <v>28.061425</v>
      </c>
      <c r="Z11" s="292" cm="1">
        <f t="array" aca="1" ref="Z11" ca="1">IF($R11="Y",VLOOKUP($S11,INDIRECT($P$1),Z$2,0)*INDIRECT($Q$1),VLOOKUP($S11,INDIRECT($P$1),Z$2,0))</f>
        <v>29.183799999999998</v>
      </c>
      <c r="AB11" s="203" t="str">
        <f t="shared" si="11"/>
        <v>04388C</v>
      </c>
      <c r="AC11" s="203" t="str">
        <f t="shared" si="1"/>
        <v>CFF 1</v>
      </c>
      <c r="AD11" s="203" t="str">
        <f t="shared" si="12"/>
        <v>Fire Inspector 1</v>
      </c>
      <c r="AE11" s="255">
        <f t="shared" ca="1" si="13"/>
        <v>23.986999999999998</v>
      </c>
      <c r="AF11" s="255">
        <f t="shared" ca="1" si="4"/>
        <v>24.946000000000002</v>
      </c>
      <c r="AG11" s="255">
        <f t="shared" ca="1" si="4"/>
        <v>25.945</v>
      </c>
      <c r="AH11" s="255">
        <f t="shared" ca="1" si="4"/>
        <v>26.981999999999999</v>
      </c>
      <c r="AI11" s="255">
        <f t="shared" ca="1" si="4"/>
        <v>28.061</v>
      </c>
      <c r="AJ11" s="255">
        <f t="shared" ca="1" si="4"/>
        <v>29.184000000000001</v>
      </c>
    </row>
    <row r="12" spans="1:36" ht="18.75" customHeight="1">
      <c r="A12" s="218" t="s">
        <v>23</v>
      </c>
      <c r="B12" s="64" t="s">
        <v>115</v>
      </c>
      <c r="C12" s="211" t="str">
        <f t="shared" si="2"/>
        <v>CFF 2</v>
      </c>
      <c r="D12" s="60" t="s">
        <v>24</v>
      </c>
      <c r="E12" s="60"/>
      <c r="F12" s="307" t="s">
        <v>17</v>
      </c>
      <c r="G12" s="309">
        <f t="shared" ref="G12:G21" ca="1" si="14">U12*$O12</f>
        <v>3247.0893000000001</v>
      </c>
      <c r="H12" s="226">
        <f t="shared" ref="H12:H21" ca="1" si="15">V12*$O12</f>
        <v>3374.5775699999999</v>
      </c>
      <c r="I12" s="226">
        <f t="shared" ref="I12:I21" ca="1" si="16">W12*$O12</f>
        <v>3579.6333299999997</v>
      </c>
      <c r="J12" s="226"/>
      <c r="K12" s="226"/>
      <c r="L12" s="227"/>
      <c r="M12" s="165"/>
      <c r="N12" s="42"/>
      <c r="O12" s="289">
        <v>109.2</v>
      </c>
      <c r="P12" s="291" t="s">
        <v>144</v>
      </c>
      <c r="Q12" s="291" t="s">
        <v>150</v>
      </c>
      <c r="R12" s="291" t="s">
        <v>287</v>
      </c>
      <c r="S12" s="291" t="str">
        <f t="shared" si="0"/>
        <v>04420C</v>
      </c>
      <c r="T12" s="289" t="s">
        <v>24</v>
      </c>
      <c r="U12" s="292" cm="1">
        <f t="array" aca="1" ref="U12" ca="1">IF($R12="Y",VLOOKUP($S12,INDIRECT($P$1),U$2,0)*INDIRECT($Q$1),VLOOKUP($S12,INDIRECT($P$1),U$2,0))</f>
        <v>29.735250000000001</v>
      </c>
      <c r="V12" s="292" cm="1">
        <f t="array" aca="1" ref="V12" ca="1">IF($R12="Y",VLOOKUP($S12,INDIRECT($P$1),V$2,0)*INDIRECT($Q$1),VLOOKUP($S12,INDIRECT($P$1),V$2,0))</f>
        <v>30.902724999999997</v>
      </c>
      <c r="W12" s="292" cm="1">
        <f t="array" aca="1" ref="W12" ca="1">IF($R12="Y",VLOOKUP($S12,INDIRECT($P$1),W$2,0)*INDIRECT($Q$1),VLOOKUP($S12,INDIRECT($P$1),W$2,0))</f>
        <v>32.780524999999997</v>
      </c>
      <c r="X12" s="292"/>
      <c r="Y12" s="292"/>
      <c r="Z12" s="292"/>
      <c r="AB12" s="203" t="str">
        <f t="shared" si="11"/>
        <v>04420C</v>
      </c>
      <c r="AC12" s="203" t="str">
        <f t="shared" si="1"/>
        <v>CFF 2</v>
      </c>
      <c r="AD12" s="203" t="str">
        <f t="shared" si="12"/>
        <v>Fire Motor Operator</v>
      </c>
      <c r="AE12" s="255">
        <f t="shared" ca="1" si="13"/>
        <v>29.734999999999999</v>
      </c>
      <c r="AF12" s="255">
        <f t="shared" ca="1" si="4"/>
        <v>30.902999999999999</v>
      </c>
      <c r="AG12" s="255">
        <f t="shared" ca="1" si="4"/>
        <v>32.780999999999999</v>
      </c>
      <c r="AH12" s="203"/>
      <c r="AI12" s="203"/>
      <c r="AJ12" s="203"/>
    </row>
    <row r="13" spans="1:36" ht="18.75" customHeight="1">
      <c r="A13" s="218" t="s">
        <v>195</v>
      </c>
      <c r="B13" s="64" t="s">
        <v>115</v>
      </c>
      <c r="C13" s="211" t="str">
        <f t="shared" si="2"/>
        <v>CFG 2</v>
      </c>
      <c r="D13" s="60" t="s">
        <v>26</v>
      </c>
      <c r="E13" s="60"/>
      <c r="F13" s="307" t="s">
        <v>17</v>
      </c>
      <c r="G13" s="309">
        <f t="shared" ca="1" si="14"/>
        <v>3247.1179999999995</v>
      </c>
      <c r="H13" s="226">
        <f t="shared" ca="1" si="15"/>
        <v>3374.6279999999997</v>
      </c>
      <c r="I13" s="226">
        <f t="shared" ca="1" si="16"/>
        <v>3579.6279999999997</v>
      </c>
      <c r="J13" s="226"/>
      <c r="K13" s="226"/>
      <c r="L13" s="227"/>
      <c r="M13" s="165"/>
      <c r="N13" s="42"/>
      <c r="O13" s="289">
        <v>80</v>
      </c>
      <c r="P13" s="291" t="s">
        <v>143</v>
      </c>
      <c r="Q13" s="291" t="s">
        <v>151</v>
      </c>
      <c r="R13" s="291" t="s">
        <v>287</v>
      </c>
      <c r="S13" s="291" t="str">
        <f t="shared" si="0"/>
        <v>04421C</v>
      </c>
      <c r="T13" s="289" t="s">
        <v>26</v>
      </c>
      <c r="U13" s="292" cm="1">
        <f t="array" aca="1" ref="U13" ca="1">IF($R13="Y",VLOOKUP($S13,INDIRECT($P$1),U$2,0)*INDIRECT($Q$1),VLOOKUP($S13,INDIRECT($P$1),U$2,0))</f>
        <v>40.588974999999991</v>
      </c>
      <c r="V13" s="292" cm="1">
        <f t="array" aca="1" ref="V13" ca="1">IF($R13="Y",VLOOKUP($S13,INDIRECT($P$1),V$2,0)*INDIRECT($Q$1),VLOOKUP($S13,INDIRECT($P$1),V$2,0))</f>
        <v>42.182849999999995</v>
      </c>
      <c r="W13" s="292" cm="1">
        <f t="array" aca="1" ref="W13" ca="1">IF($R13="Y",VLOOKUP($S13,INDIRECT($P$1),W$2,0)*INDIRECT($Q$1),VLOOKUP($S13,INDIRECT($P$1),W$2,0))</f>
        <v>44.745349999999995</v>
      </c>
      <c r="X13" s="292"/>
      <c r="Y13" s="292"/>
      <c r="Z13" s="292"/>
      <c r="AB13" s="203" t="str">
        <f t="shared" si="11"/>
        <v>04421C</v>
      </c>
      <c r="AC13" s="203" t="str">
        <f t="shared" si="1"/>
        <v>CFG 2</v>
      </c>
      <c r="AD13" s="203" t="str">
        <f t="shared" si="12"/>
        <v>Fire Motor Operator (40 hrs.)</v>
      </c>
      <c r="AE13" s="255">
        <f t="shared" ca="1" si="13"/>
        <v>40.588999999999999</v>
      </c>
      <c r="AF13" s="255">
        <f t="shared" ca="1" si="4"/>
        <v>42.183</v>
      </c>
      <c r="AG13" s="255">
        <f t="shared" ca="1" si="4"/>
        <v>44.744999999999997</v>
      </c>
      <c r="AH13" s="203"/>
      <c r="AI13" s="203"/>
      <c r="AJ13" s="203"/>
    </row>
    <row r="14" spans="1:36" ht="18.75" customHeight="1">
      <c r="A14" s="218" t="s">
        <v>27</v>
      </c>
      <c r="B14" s="64" t="s">
        <v>115</v>
      </c>
      <c r="C14" s="211" t="str">
        <f t="shared" si="2"/>
        <v>CFF 2</v>
      </c>
      <c r="D14" s="60" t="s">
        <v>28</v>
      </c>
      <c r="E14" s="60"/>
      <c r="F14" s="307" t="s">
        <v>17</v>
      </c>
      <c r="G14" s="309">
        <f t="shared" ca="1" si="14"/>
        <v>3247.0893000000001</v>
      </c>
      <c r="H14" s="226">
        <f t="shared" ca="1" si="15"/>
        <v>3374.5775699999999</v>
      </c>
      <c r="I14" s="226">
        <f t="shared" ca="1" si="16"/>
        <v>3579.6333299999997</v>
      </c>
      <c r="J14" s="226"/>
      <c r="K14" s="226"/>
      <c r="L14" s="227"/>
      <c r="M14" s="165"/>
      <c r="N14" s="42"/>
      <c r="O14" s="289">
        <v>109.2</v>
      </c>
      <c r="P14" s="291" t="s">
        <v>144</v>
      </c>
      <c r="Q14" s="291" t="s">
        <v>150</v>
      </c>
      <c r="R14" s="291" t="s">
        <v>287</v>
      </c>
      <c r="S14" s="291" t="str">
        <f t="shared" si="0"/>
        <v>04389C</v>
      </c>
      <c r="T14" s="289" t="s">
        <v>28</v>
      </c>
      <c r="U14" s="292" cm="1">
        <f t="array" aca="1" ref="U14" ca="1">IF($R14="Y",VLOOKUP($S14,INDIRECT($P$1),U$2,0)*INDIRECT($Q$1),VLOOKUP($S14,INDIRECT($P$1),U$2,0))</f>
        <v>29.735250000000001</v>
      </c>
      <c r="V14" s="292" cm="1">
        <f t="array" aca="1" ref="V14" ca="1">IF($R14="Y",VLOOKUP($S14,INDIRECT($P$1),V$2,0)*INDIRECT($Q$1),VLOOKUP($S14,INDIRECT($P$1),V$2,0))</f>
        <v>30.902724999999997</v>
      </c>
      <c r="W14" s="292" cm="1">
        <f t="array" aca="1" ref="W14" ca="1">IF($R14="Y",VLOOKUP($S14,INDIRECT($P$1),W$2,0)*INDIRECT($Q$1),VLOOKUP($S14,INDIRECT($P$1),W$2,0))</f>
        <v>32.780524999999997</v>
      </c>
      <c r="X14" s="292"/>
      <c r="Y14" s="292"/>
      <c r="Z14" s="292"/>
      <c r="AB14" s="203" t="str">
        <f t="shared" si="11"/>
        <v>04389C</v>
      </c>
      <c r="AC14" s="203" t="str">
        <f t="shared" si="1"/>
        <v>CFF 2</v>
      </c>
      <c r="AD14" s="203" t="str">
        <f t="shared" si="12"/>
        <v>Fire Inspector 2</v>
      </c>
      <c r="AE14" s="255">
        <f t="shared" ca="1" si="13"/>
        <v>29.734999999999999</v>
      </c>
      <c r="AF14" s="255">
        <f t="shared" ca="1" si="4"/>
        <v>30.902999999999999</v>
      </c>
      <c r="AG14" s="255">
        <f t="shared" ca="1" si="4"/>
        <v>32.780999999999999</v>
      </c>
      <c r="AH14" s="203"/>
      <c r="AI14" s="203"/>
      <c r="AJ14" s="203"/>
    </row>
    <row r="15" spans="1:36" ht="18.75" customHeight="1">
      <c r="A15" s="218" t="s">
        <v>29</v>
      </c>
      <c r="B15" s="64" t="s">
        <v>115</v>
      </c>
      <c r="C15" s="211" t="str">
        <f t="shared" si="2"/>
        <v>CFF 3</v>
      </c>
      <c r="D15" s="60" t="s">
        <v>30</v>
      </c>
      <c r="E15" s="60"/>
      <c r="F15" s="307" t="s">
        <v>17</v>
      </c>
      <c r="G15" s="309">
        <f t="shared" ca="1" si="14"/>
        <v>3680.5941899999993</v>
      </c>
      <c r="H15" s="226">
        <f t="shared" ca="1" si="15"/>
        <v>3826.5509099999999</v>
      </c>
      <c r="I15" s="226">
        <f t="shared" ca="1" si="16"/>
        <v>4060.7084699999991</v>
      </c>
      <c r="J15" s="226"/>
      <c r="K15" s="226"/>
      <c r="L15" s="227"/>
      <c r="M15" s="165"/>
      <c r="N15" s="42"/>
      <c r="O15" s="289">
        <v>109.2</v>
      </c>
      <c r="P15" s="291" t="s">
        <v>144</v>
      </c>
      <c r="Q15" s="291" t="s">
        <v>152</v>
      </c>
      <c r="R15" s="291" t="s">
        <v>287</v>
      </c>
      <c r="S15" s="291" t="str">
        <f t="shared" si="0"/>
        <v>04370C</v>
      </c>
      <c r="T15" s="289" t="s">
        <v>30</v>
      </c>
      <c r="U15" s="292" cm="1">
        <f t="array" aca="1" ref="U15" ca="1">IF($R15="Y",VLOOKUP($S15,INDIRECT($P$1),U$2,0)*INDIRECT($Q$1),VLOOKUP($S15,INDIRECT($P$1),U$2,0))</f>
        <v>33.705074999999994</v>
      </c>
      <c r="V15" s="292" cm="1">
        <f t="array" aca="1" ref="V15" ca="1">IF($R15="Y",VLOOKUP($S15,INDIRECT($P$1),V$2,0)*INDIRECT($Q$1),VLOOKUP($S15,INDIRECT($P$1),V$2,0))</f>
        <v>35.041674999999998</v>
      </c>
      <c r="W15" s="292" cm="1">
        <f t="array" aca="1" ref="W15" ca="1">IF($R15="Y",VLOOKUP($S15,INDIRECT($P$1),W$2,0)*INDIRECT($Q$1),VLOOKUP($S15,INDIRECT($P$1),W$2,0))</f>
        <v>37.185974999999992</v>
      </c>
      <c r="X15" s="292"/>
      <c r="Y15" s="292"/>
      <c r="Z15" s="292"/>
      <c r="AB15" s="203" t="str">
        <f t="shared" si="11"/>
        <v>04370C</v>
      </c>
      <c r="AC15" s="203" t="str">
        <f t="shared" si="1"/>
        <v>CFF 3</v>
      </c>
      <c r="AD15" s="203" t="str">
        <f t="shared" si="12"/>
        <v>Fire Captain</v>
      </c>
      <c r="AE15" s="255">
        <f t="shared" ca="1" si="13"/>
        <v>33.704999999999998</v>
      </c>
      <c r="AF15" s="255">
        <f t="shared" ca="1" si="4"/>
        <v>35.042000000000002</v>
      </c>
      <c r="AG15" s="255">
        <f t="shared" ca="1" si="4"/>
        <v>37.186</v>
      </c>
      <c r="AH15" s="203"/>
      <c r="AI15" s="203"/>
      <c r="AJ15" s="203"/>
    </row>
    <row r="16" spans="1:36" ht="18.75" customHeight="1">
      <c r="A16" s="218" t="s">
        <v>31</v>
      </c>
      <c r="B16" s="64" t="s">
        <v>115</v>
      </c>
      <c r="C16" s="211" t="str">
        <f t="shared" si="2"/>
        <v>CFG 3</v>
      </c>
      <c r="D16" s="60" t="s">
        <v>32</v>
      </c>
      <c r="E16" s="60"/>
      <c r="F16" s="307" t="s">
        <v>17</v>
      </c>
      <c r="G16" s="309">
        <f t="shared" ca="1" si="14"/>
        <v>3680.5699999999997</v>
      </c>
      <c r="H16" s="226">
        <f t="shared" ca="1" si="15"/>
        <v>3826.5299999999997</v>
      </c>
      <c r="I16" s="226">
        <f t="shared" ca="1" si="16"/>
        <v>4060.7219999999998</v>
      </c>
      <c r="J16" s="226"/>
      <c r="K16" s="226"/>
      <c r="L16" s="227"/>
      <c r="M16" s="165"/>
      <c r="N16" s="42"/>
      <c r="O16" s="289">
        <v>80</v>
      </c>
      <c r="P16" s="291" t="s">
        <v>143</v>
      </c>
      <c r="Q16" s="291" t="s">
        <v>153</v>
      </c>
      <c r="R16" s="291" t="s">
        <v>287</v>
      </c>
      <c r="S16" s="291" t="str">
        <f t="shared" si="0"/>
        <v>04371C</v>
      </c>
      <c r="T16" s="289" t="s">
        <v>32</v>
      </c>
      <c r="U16" s="292" cm="1">
        <f t="array" aca="1" ref="U16" ca="1">IF($R16="Y",VLOOKUP($S16,INDIRECT($P$1),U$2,0)*INDIRECT($Q$1),VLOOKUP($S16,INDIRECT($P$1),U$2,0))</f>
        <v>46.007124999999995</v>
      </c>
      <c r="V16" s="292" cm="1">
        <f t="array" aca="1" ref="V16" ca="1">IF($R16="Y",VLOOKUP($S16,INDIRECT($P$1),V$2,0)*INDIRECT($Q$1),VLOOKUP($S16,INDIRECT($P$1),V$2,0))</f>
        <v>47.831624999999995</v>
      </c>
      <c r="W16" s="292" cm="1">
        <f t="array" aca="1" ref="W16" ca="1">IF($R16="Y",VLOOKUP($S16,INDIRECT($P$1),W$2,0)*INDIRECT($Q$1),VLOOKUP($S16,INDIRECT($P$1),W$2,0))</f>
        <v>50.759024999999994</v>
      </c>
      <c r="X16" s="292"/>
      <c r="Y16" s="292"/>
      <c r="Z16" s="292"/>
      <c r="AB16" s="203" t="str">
        <f t="shared" si="11"/>
        <v>04371C</v>
      </c>
      <c r="AC16" s="203" t="str">
        <f t="shared" si="1"/>
        <v>CFG 3</v>
      </c>
      <c r="AD16" s="203" t="str">
        <f t="shared" si="12"/>
        <v>Fire Captain (40 hrs.)</v>
      </c>
      <c r="AE16" s="255">
        <f t="shared" ca="1" si="13"/>
        <v>46.006999999999998</v>
      </c>
      <c r="AF16" s="255">
        <f t="shared" ca="1" si="4"/>
        <v>47.832000000000001</v>
      </c>
      <c r="AG16" s="255">
        <f t="shared" ca="1" si="4"/>
        <v>50.759</v>
      </c>
      <c r="AH16" s="203"/>
      <c r="AI16" s="203"/>
      <c r="AJ16" s="203"/>
    </row>
    <row r="17" spans="1:36" ht="18.75" customHeight="1">
      <c r="A17" s="218" t="s">
        <v>33</v>
      </c>
      <c r="B17" s="64" t="s">
        <v>115</v>
      </c>
      <c r="C17" s="211" t="str">
        <f t="shared" si="2"/>
        <v>CFF 3</v>
      </c>
      <c r="D17" s="60" t="s">
        <v>34</v>
      </c>
      <c r="E17" s="60"/>
      <c r="F17" s="307" t="s">
        <v>17</v>
      </c>
      <c r="G17" s="309">
        <f t="shared" ca="1" si="14"/>
        <v>3680.5941899999993</v>
      </c>
      <c r="H17" s="226">
        <f t="shared" ca="1" si="15"/>
        <v>3826.5509099999999</v>
      </c>
      <c r="I17" s="226">
        <f t="shared" ca="1" si="16"/>
        <v>4060.7084699999991</v>
      </c>
      <c r="J17" s="226"/>
      <c r="K17" s="226"/>
      <c r="L17" s="227"/>
      <c r="M17" s="165"/>
      <c r="N17" s="42"/>
      <c r="O17" s="289">
        <v>109.2</v>
      </c>
      <c r="P17" s="291" t="s">
        <v>144</v>
      </c>
      <c r="Q17" s="291" t="s">
        <v>152</v>
      </c>
      <c r="R17" s="291" t="s">
        <v>287</v>
      </c>
      <c r="S17" s="291" t="str">
        <f t="shared" si="0"/>
        <v>04400C</v>
      </c>
      <c r="T17" s="289" t="s">
        <v>34</v>
      </c>
      <c r="U17" s="292" cm="1">
        <f t="array" aca="1" ref="U17" ca="1">IF($R17="Y",VLOOKUP($S17,INDIRECT($P$1),U$2,0)*INDIRECT($Q$1),VLOOKUP($S17,INDIRECT($P$1),U$2,0))</f>
        <v>33.705074999999994</v>
      </c>
      <c r="V17" s="292" cm="1">
        <f t="array" aca="1" ref="V17" ca="1">IF($R17="Y",VLOOKUP($S17,INDIRECT($P$1),V$2,0)*INDIRECT($Q$1),VLOOKUP($S17,INDIRECT($P$1),V$2,0))</f>
        <v>35.041674999999998</v>
      </c>
      <c r="W17" s="292" cm="1">
        <f t="array" aca="1" ref="W17" ca="1">IF($R17="Y",VLOOKUP($S17,INDIRECT($P$1),W$2,0)*INDIRECT($Q$1),VLOOKUP($S17,INDIRECT($P$1),W$2,0))</f>
        <v>37.185974999999992</v>
      </c>
      <c r="X17" s="292"/>
      <c r="Y17" s="292"/>
      <c r="Z17" s="292"/>
      <c r="AB17" s="203" t="str">
        <f t="shared" si="11"/>
        <v>04400C</v>
      </c>
      <c r="AC17" s="203" t="str">
        <f t="shared" si="1"/>
        <v>CFF 3</v>
      </c>
      <c r="AD17" s="203" t="str">
        <f t="shared" si="12"/>
        <v>Fire Investigator</v>
      </c>
      <c r="AE17" s="255">
        <f t="shared" ca="1" si="13"/>
        <v>33.704999999999998</v>
      </c>
      <c r="AF17" s="255">
        <f t="shared" ca="1" si="4"/>
        <v>35.042000000000002</v>
      </c>
      <c r="AG17" s="255">
        <f t="shared" ca="1" si="4"/>
        <v>37.186</v>
      </c>
      <c r="AH17" s="203"/>
      <c r="AI17" s="203"/>
      <c r="AJ17" s="203"/>
    </row>
    <row r="18" spans="1:36" ht="18.75" customHeight="1">
      <c r="A18" s="218" t="s">
        <v>35</v>
      </c>
      <c r="B18" s="64" t="s">
        <v>115</v>
      </c>
      <c r="C18" s="211" t="str">
        <f t="shared" si="2"/>
        <v>CFG 3</v>
      </c>
      <c r="D18" s="60" t="s">
        <v>36</v>
      </c>
      <c r="E18" s="60"/>
      <c r="F18" s="307" t="s">
        <v>17</v>
      </c>
      <c r="G18" s="309">
        <f t="shared" ca="1" si="14"/>
        <v>3680.5699999999997</v>
      </c>
      <c r="H18" s="226">
        <f t="shared" ca="1" si="15"/>
        <v>3826.5299999999997</v>
      </c>
      <c r="I18" s="226">
        <f t="shared" ca="1" si="16"/>
        <v>4060.7219999999998</v>
      </c>
      <c r="J18" s="226"/>
      <c r="K18" s="226"/>
      <c r="L18" s="227"/>
      <c r="M18" s="165"/>
      <c r="N18" s="42"/>
      <c r="O18" s="289">
        <v>80</v>
      </c>
      <c r="P18" s="291" t="s">
        <v>143</v>
      </c>
      <c r="Q18" s="291" t="s">
        <v>153</v>
      </c>
      <c r="R18" s="291" t="s">
        <v>287</v>
      </c>
      <c r="S18" s="291" t="str">
        <f t="shared" si="0"/>
        <v>04401C</v>
      </c>
      <c r="T18" s="289" t="s">
        <v>36</v>
      </c>
      <c r="U18" s="292" cm="1">
        <f t="array" aca="1" ref="U18" ca="1">IF($R18="Y",VLOOKUP($S18,INDIRECT($P$1),U$2,0)*INDIRECT($Q$1),VLOOKUP($S18,INDIRECT($P$1),U$2,0))</f>
        <v>46.007124999999995</v>
      </c>
      <c r="V18" s="292" cm="1">
        <f t="array" aca="1" ref="V18" ca="1">IF($R18="Y",VLOOKUP($S18,INDIRECT($P$1),V$2,0)*INDIRECT($Q$1),VLOOKUP($S18,INDIRECT($P$1),V$2,0))</f>
        <v>47.831624999999995</v>
      </c>
      <c r="W18" s="292" cm="1">
        <f t="array" aca="1" ref="W18" ca="1">IF($R18="Y",VLOOKUP($S18,INDIRECT($P$1),W$2,0)*INDIRECT($Q$1),VLOOKUP($S18,INDIRECT($P$1),W$2,0))</f>
        <v>50.759024999999994</v>
      </c>
      <c r="X18" s="292"/>
      <c r="Y18" s="292"/>
      <c r="Z18" s="292"/>
      <c r="AB18" s="203" t="str">
        <f t="shared" si="11"/>
        <v>04401C</v>
      </c>
      <c r="AC18" s="203" t="str">
        <f t="shared" si="1"/>
        <v>CFG 3</v>
      </c>
      <c r="AD18" s="203" t="str">
        <f t="shared" si="12"/>
        <v>Fire Investigator (40 hrs.)</v>
      </c>
      <c r="AE18" s="255">
        <f t="shared" ca="1" si="13"/>
        <v>46.006999999999998</v>
      </c>
      <c r="AF18" s="255">
        <f t="shared" ca="1" si="4"/>
        <v>47.832000000000001</v>
      </c>
      <c r="AG18" s="255">
        <f t="shared" ca="1" si="4"/>
        <v>50.759</v>
      </c>
      <c r="AH18" s="203"/>
      <c r="AI18" s="203"/>
      <c r="AJ18" s="203"/>
    </row>
    <row r="19" spans="1:36" ht="18.75" customHeight="1">
      <c r="A19" s="218" t="s">
        <v>37</v>
      </c>
      <c r="B19" s="64" t="s">
        <v>115</v>
      </c>
      <c r="C19" s="211" t="str">
        <f t="shared" si="2"/>
        <v>CFF 3</v>
      </c>
      <c r="D19" s="60" t="s">
        <v>38</v>
      </c>
      <c r="E19" s="60"/>
      <c r="F19" s="307" t="s">
        <v>17</v>
      </c>
      <c r="G19" s="309">
        <f t="shared" ca="1" si="14"/>
        <v>3680.5941899999993</v>
      </c>
      <c r="H19" s="226">
        <f t="shared" ca="1" si="15"/>
        <v>3826.5509099999999</v>
      </c>
      <c r="I19" s="226">
        <f t="shared" ca="1" si="16"/>
        <v>4060.7084699999991</v>
      </c>
      <c r="J19" s="226"/>
      <c r="K19" s="226"/>
      <c r="L19" s="227"/>
      <c r="M19" s="165"/>
      <c r="N19" s="42"/>
      <c r="O19" s="289">
        <v>109.2</v>
      </c>
      <c r="P19" s="291" t="s">
        <v>144</v>
      </c>
      <c r="Q19" s="291" t="s">
        <v>152</v>
      </c>
      <c r="R19" s="291" t="s">
        <v>287</v>
      </c>
      <c r="S19" s="291" t="str">
        <f t="shared" si="0"/>
        <v>04390C</v>
      </c>
      <c r="T19" s="289" t="s">
        <v>38</v>
      </c>
      <c r="U19" s="292" cm="1">
        <f t="array" aca="1" ref="U19" ca="1">IF($R19="Y",VLOOKUP($S19,INDIRECT($P$1),U$2,0)*INDIRECT($Q$1),VLOOKUP($S19,INDIRECT($P$1),U$2,0))</f>
        <v>33.705074999999994</v>
      </c>
      <c r="V19" s="292" cm="1">
        <f t="array" aca="1" ref="V19" ca="1">IF($R19="Y",VLOOKUP($S19,INDIRECT($P$1),V$2,0)*INDIRECT($Q$1),VLOOKUP($S19,INDIRECT($P$1),V$2,0))</f>
        <v>35.041674999999998</v>
      </c>
      <c r="W19" s="292" cm="1">
        <f t="array" aca="1" ref="W19" ca="1">IF($R19="Y",VLOOKUP($S19,INDIRECT($P$1),W$2,0)*INDIRECT($Q$1),VLOOKUP($S19,INDIRECT($P$1),W$2,0))</f>
        <v>37.185974999999992</v>
      </c>
      <c r="X19" s="292"/>
      <c r="Y19" s="292"/>
      <c r="Z19" s="292"/>
      <c r="AB19" s="203" t="str">
        <f t="shared" si="11"/>
        <v>04390C</v>
      </c>
      <c r="AC19" s="203" t="str">
        <f t="shared" si="1"/>
        <v>CFF 3</v>
      </c>
      <c r="AD19" s="203" t="str">
        <f t="shared" si="12"/>
        <v>Fire Inspector 3</v>
      </c>
      <c r="AE19" s="255">
        <f t="shared" ca="1" si="13"/>
        <v>33.704999999999998</v>
      </c>
      <c r="AF19" s="255">
        <f t="shared" ca="1" si="4"/>
        <v>35.042000000000002</v>
      </c>
      <c r="AG19" s="255">
        <f t="shared" ca="1" si="4"/>
        <v>37.186</v>
      </c>
      <c r="AH19" s="203"/>
      <c r="AI19" s="203"/>
      <c r="AJ19" s="203"/>
    </row>
    <row r="20" spans="1:36" ht="18.75" customHeight="1">
      <c r="A20" s="218" t="s">
        <v>41</v>
      </c>
      <c r="B20" s="64" t="s">
        <v>115</v>
      </c>
      <c r="C20" s="211" t="str">
        <f t="shared" si="2"/>
        <v>CFF 4</v>
      </c>
      <c r="D20" s="66" t="s">
        <v>113</v>
      </c>
      <c r="E20" s="60"/>
      <c r="F20" s="307" t="s">
        <v>17</v>
      </c>
      <c r="G20" s="309">
        <f t="shared" ca="1" si="14"/>
        <v>3767.0041500000002</v>
      </c>
      <c r="H20" s="226">
        <f t="shared" ca="1" si="15"/>
        <v>3830.8042499999992</v>
      </c>
      <c r="I20" s="226">
        <f t="shared" ca="1" si="16"/>
        <v>3895.9475099999991</v>
      </c>
      <c r="J20" s="226">
        <f t="shared" ref="J20:J21" ca="1" si="17">X20*$O20</f>
        <v>3961.0907699999993</v>
      </c>
      <c r="K20" s="226">
        <f t="shared" ref="K20:K21" ca="1" si="18">Y20*$O20</f>
        <v>4202.7476399999996</v>
      </c>
      <c r="L20" s="227"/>
      <c r="M20" s="165"/>
      <c r="N20" s="42"/>
      <c r="O20" s="289">
        <v>109.2</v>
      </c>
      <c r="P20" s="291" t="s">
        <v>144</v>
      </c>
      <c r="Q20" s="291" t="s">
        <v>154</v>
      </c>
      <c r="R20" s="291" t="s">
        <v>287</v>
      </c>
      <c r="S20" s="291" t="str">
        <f t="shared" si="0"/>
        <v>04436C</v>
      </c>
      <c r="T20" s="293" t="s">
        <v>113</v>
      </c>
      <c r="U20" s="292" cm="1">
        <f t="array" aca="1" ref="U20" ca="1">IF($R20="Y",VLOOKUP($S20,INDIRECT($P$1),U$2,0)*INDIRECT($Q$1),VLOOKUP($S20,INDIRECT($P$1),U$2,0))</f>
        <v>34.496375</v>
      </c>
      <c r="V20" s="292" cm="1">
        <f t="array" aca="1" ref="V20" ca="1">IF($R20="Y",VLOOKUP($S20,INDIRECT($P$1),V$2,0)*INDIRECT($Q$1),VLOOKUP($S20,INDIRECT($P$1),V$2,0))</f>
        <v>35.080624999999991</v>
      </c>
      <c r="W20" s="292" cm="1">
        <f t="array" aca="1" ref="W20" ca="1">IF($R20="Y",VLOOKUP($S20,INDIRECT($P$1),W$2,0)*INDIRECT($Q$1),VLOOKUP($S20,INDIRECT($P$1),W$2,0))</f>
        <v>35.677174999999991</v>
      </c>
      <c r="X20" s="292" cm="1">
        <f t="array" aca="1" ref="X20" ca="1">IF($R20="Y",VLOOKUP($S20,INDIRECT($P$1),X$2,0)*INDIRECT($Q$1),VLOOKUP($S20,INDIRECT($P$1),X$2,0))</f>
        <v>36.273724999999992</v>
      </c>
      <c r="Y20" s="292" cm="1">
        <f t="array" aca="1" ref="Y20" ca="1">IF($R20="Y",VLOOKUP($S20,INDIRECT($P$1),Y$2,0)*INDIRECT($Q$1),VLOOKUP($S20,INDIRECT($P$1),Y$2,0))</f>
        <v>38.486699999999992</v>
      </c>
      <c r="Z20" s="292"/>
      <c r="AB20" s="203" t="str">
        <f t="shared" si="11"/>
        <v>04436C</v>
      </c>
      <c r="AC20" s="203" t="str">
        <f t="shared" si="1"/>
        <v>CFF 4</v>
      </c>
      <c r="AD20" s="203" t="str">
        <f t="shared" si="12"/>
        <v xml:space="preserve">Fire Staff Captain </v>
      </c>
      <c r="AE20" s="255">
        <f t="shared" ca="1" si="13"/>
        <v>34.496000000000002</v>
      </c>
      <c r="AF20" s="255">
        <f t="shared" ca="1" si="4"/>
        <v>35.081000000000003</v>
      </c>
      <c r="AG20" s="255">
        <f t="shared" ca="1" si="4"/>
        <v>35.677</v>
      </c>
      <c r="AH20" s="255">
        <f t="shared" ca="1" si="4"/>
        <v>36.274000000000001</v>
      </c>
      <c r="AI20" s="203"/>
      <c r="AJ20" s="203"/>
    </row>
    <row r="21" spans="1:36" ht="18.75" customHeight="1" thickBot="1">
      <c r="A21" s="219" t="s">
        <v>39</v>
      </c>
      <c r="B21" s="220" t="s">
        <v>115</v>
      </c>
      <c r="C21" s="220" t="str">
        <f t="shared" si="2"/>
        <v>CFG 4</v>
      </c>
      <c r="D21" s="221" t="s">
        <v>42</v>
      </c>
      <c r="E21" s="222"/>
      <c r="F21" s="308" t="s">
        <v>17</v>
      </c>
      <c r="G21" s="310">
        <f t="shared" ca="1" si="14"/>
        <v>3766.9979999999996</v>
      </c>
      <c r="H21" s="228">
        <f t="shared" ca="1" si="15"/>
        <v>3830.7939999999999</v>
      </c>
      <c r="I21" s="228">
        <f t="shared" ca="1" si="16"/>
        <v>3895.9839999999995</v>
      </c>
      <c r="J21" s="228">
        <f t="shared" ca="1" si="17"/>
        <v>3961.0919999999992</v>
      </c>
      <c r="K21" s="228">
        <f t="shared" ca="1" si="18"/>
        <v>4202.7459999999992</v>
      </c>
      <c r="L21" s="229"/>
      <c r="M21" s="165"/>
      <c r="N21" s="42"/>
      <c r="O21" s="289">
        <v>80</v>
      </c>
      <c r="P21" s="291" t="s">
        <v>143</v>
      </c>
      <c r="Q21" s="291" t="s">
        <v>155</v>
      </c>
      <c r="R21" s="291" t="s">
        <v>287</v>
      </c>
      <c r="S21" s="291" t="str">
        <f t="shared" si="0"/>
        <v>04435C</v>
      </c>
      <c r="T21" s="289" t="s">
        <v>42</v>
      </c>
      <c r="U21" s="292" cm="1">
        <f t="array" aca="1" ref="U21" ca="1">IF($R21="Y",VLOOKUP($S21,INDIRECT($P$1),U$2,0)*INDIRECT($Q$1),VLOOKUP($S21,INDIRECT($P$1),U$2,0))</f>
        <v>47.087474999999998</v>
      </c>
      <c r="V21" s="292" cm="1">
        <f t="array" aca="1" ref="V21" ca="1">IF($R21="Y",VLOOKUP($S21,INDIRECT($P$1),V$2,0)*INDIRECT($Q$1),VLOOKUP($S21,INDIRECT($P$1),V$2,0))</f>
        <v>47.884924999999996</v>
      </c>
      <c r="W21" s="292" cm="1">
        <f t="array" aca="1" ref="W21" ca="1">IF($R21="Y",VLOOKUP($S21,INDIRECT($P$1),W$2,0)*INDIRECT($Q$1),VLOOKUP($S21,INDIRECT($P$1),W$2,0))</f>
        <v>48.699799999999996</v>
      </c>
      <c r="X21" s="292" cm="1">
        <f t="array" aca="1" ref="X21" ca="1">IF($R21="Y",VLOOKUP($S21,INDIRECT($P$1),X$2,0)*INDIRECT($Q$1),VLOOKUP($S21,INDIRECT($P$1),X$2,0))</f>
        <v>49.513649999999991</v>
      </c>
      <c r="Y21" s="292" cm="1">
        <f t="array" aca="1" ref="Y21" ca="1">IF($R21="Y",VLOOKUP($S21,INDIRECT($P$1),Y$2,0)*INDIRECT($Q$1),VLOOKUP($S21,INDIRECT($P$1),Y$2,0))</f>
        <v>52.534324999999995</v>
      </c>
      <c r="Z21" s="292"/>
      <c r="AB21" s="203" t="str">
        <f t="shared" si="11"/>
        <v>04435C</v>
      </c>
      <c r="AC21" s="203" t="str">
        <f t="shared" si="1"/>
        <v>CFG 4</v>
      </c>
      <c r="AD21" s="203" t="str">
        <f t="shared" si="12"/>
        <v>Fire Staff Captain (40 hrs.)</v>
      </c>
      <c r="AE21" s="255">
        <f t="shared" ca="1" si="13"/>
        <v>47.087000000000003</v>
      </c>
      <c r="AF21" s="255">
        <f t="shared" ca="1" si="4"/>
        <v>47.884999999999998</v>
      </c>
      <c r="AG21" s="255">
        <f t="shared" ca="1" si="4"/>
        <v>48.7</v>
      </c>
      <c r="AH21" s="255">
        <f t="shared" ca="1" si="4"/>
        <v>49.514000000000003</v>
      </c>
      <c r="AI21" s="203"/>
      <c r="AJ21" s="203"/>
    </row>
    <row r="22" spans="1:36" ht="18.75" customHeight="1">
      <c r="A22"/>
      <c r="B22"/>
      <c r="C22"/>
      <c r="D22"/>
      <c r="E22"/>
      <c r="F22"/>
      <c r="G22"/>
      <c r="H22"/>
      <c r="I22"/>
      <c r="J22"/>
      <c r="K22"/>
      <c r="L22"/>
      <c r="M22" s="165"/>
      <c r="N22" s="42"/>
      <c r="O22" s="289">
        <v>109.2</v>
      </c>
      <c r="P22" s="291" t="s">
        <v>284</v>
      </c>
      <c r="Q22" s="291" t="s">
        <v>235</v>
      </c>
      <c r="R22" s="291" t="s">
        <v>287</v>
      </c>
      <c r="S22" s="291" t="s">
        <v>280</v>
      </c>
      <c r="T22" s="289" t="s">
        <v>281</v>
      </c>
      <c r="U22" s="292" cm="1">
        <f t="array" aca="1" ref="U22" ca="1">IF($R22="Y",VLOOKUP($S22,INDIRECT($P$1),U$2,0)*INDIRECT($Q$1),VLOOKUP($S22,INDIRECT($P$1),U$2,0))</f>
        <v>23.98705</v>
      </c>
      <c r="V22" s="292" cm="1">
        <f t="array" aca="1" ref="V22" ca="1">IF($R22="Y",VLOOKUP($S22,INDIRECT($P$1),V$2,0)*INDIRECT($Q$1),VLOOKUP($S22,INDIRECT($P$1),V$2,0))</f>
        <v>24.946449999999999</v>
      </c>
      <c r="W22" s="292" cm="1">
        <f t="array" aca="1" ref="W22" ca="1">IF($R22="Y",VLOOKUP($S22,INDIRECT($P$1),W$2,0)*INDIRECT($Q$1),VLOOKUP($S22,INDIRECT($P$1),W$2,0))</f>
        <v>25.944799999999997</v>
      </c>
      <c r="X22" s="292" cm="1">
        <f t="array" aca="1" ref="X22" ca="1">IF($R22="Y",VLOOKUP($S22,INDIRECT($P$1),X$2,0)*INDIRECT($Q$1),VLOOKUP($S22,INDIRECT($P$1),X$2,0))</f>
        <v>26.982099999999999</v>
      </c>
      <c r="Y22" s="292" cm="1">
        <f t="array" aca="1" ref="Y22" ca="1">IF($R22="Y",VLOOKUP($S22,INDIRECT($P$1),Y$2,0)*INDIRECT($Q$1),VLOOKUP($S22,INDIRECT($P$1),Y$2,0))</f>
        <v>28.061425</v>
      </c>
      <c r="Z22" s="292" cm="1">
        <f t="array" aca="1" ref="Z22" ca="1">IF($R22="Y",VLOOKUP($S22,INDIRECT($P$1),Z$2,0)*INDIRECT($Q$1),VLOOKUP($S22,INDIRECT($P$1),Z$2,0))</f>
        <v>29.183799999999998</v>
      </c>
      <c r="AA22" s="248" t="s">
        <v>283</v>
      </c>
      <c r="AB22" s="203" t="str">
        <f t="shared" si="11"/>
        <v>04452C</v>
      </c>
      <c r="AC22" s="203" t="str">
        <f>Q22</f>
        <v>CFH 1</v>
      </c>
      <c r="AD22" s="203" t="str">
        <f t="shared" si="12"/>
        <v>Firerighter Bell Curve-C</v>
      </c>
      <c r="AE22" s="255">
        <f t="shared" ca="1" si="13"/>
        <v>23.986999999999998</v>
      </c>
      <c r="AF22" s="255">
        <f t="shared" ca="1" si="4"/>
        <v>24.946000000000002</v>
      </c>
      <c r="AG22" s="255">
        <f t="shared" ca="1" si="4"/>
        <v>25.945</v>
      </c>
      <c r="AH22" s="255">
        <f t="shared" ca="1" si="4"/>
        <v>26.981999999999999</v>
      </c>
      <c r="AI22" s="255">
        <f t="shared" ca="1" si="4"/>
        <v>28.061</v>
      </c>
      <c r="AJ22" s="255">
        <f t="shared" ca="1" si="4"/>
        <v>29.184000000000001</v>
      </c>
    </row>
    <row r="23" spans="1:36" s="98" customFormat="1" ht="27.75" customHeight="1">
      <c r="A23" s="41" t="s">
        <v>303</v>
      </c>
      <c r="B23" s="42"/>
      <c r="C23" s="232"/>
      <c r="D23" s="42"/>
      <c r="E23" s="42"/>
      <c r="F23" s="42"/>
      <c r="G23" s="232"/>
      <c r="H23" s="232"/>
      <c r="I23" s="232"/>
      <c r="J23" s="232"/>
      <c r="K23" s="232"/>
      <c r="L23" s="232"/>
      <c r="M23" s="232"/>
      <c r="N23" s="157"/>
      <c r="O23" s="281"/>
      <c r="P23" s="282"/>
      <c r="Q23" s="282"/>
      <c r="R23" s="282"/>
      <c r="S23" s="285"/>
      <c r="T23" s="282"/>
      <c r="U23" s="282"/>
      <c r="V23" s="282"/>
      <c r="W23" s="282"/>
      <c r="X23" s="282"/>
      <c r="Y23" s="282"/>
      <c r="Z23" s="286"/>
      <c r="AB23" s="256"/>
      <c r="AC23" s="256"/>
      <c r="AD23" s="254" t="s">
        <v>299</v>
      </c>
      <c r="AE23" s="256"/>
      <c r="AF23" s="256"/>
      <c r="AG23" s="256"/>
      <c r="AH23" s="256"/>
      <c r="AI23" s="256"/>
      <c r="AJ23" s="256"/>
    </row>
    <row r="24" spans="1:36" s="98" customFormat="1" ht="17.25" customHeight="1">
      <c r="A24" s="50" t="s">
        <v>50</v>
      </c>
      <c r="B24" s="42"/>
      <c r="C24" s="232"/>
      <c r="D24" s="42"/>
      <c r="E24" s="42"/>
      <c r="F24" s="42"/>
      <c r="G24" s="232"/>
      <c r="H24" s="232"/>
      <c r="I24" s="232"/>
      <c r="J24" s="232"/>
      <c r="K24" s="232"/>
      <c r="L24" s="232"/>
      <c r="M24" s="232"/>
      <c r="N24" s="157"/>
      <c r="O24" s="281"/>
      <c r="P24" s="282"/>
      <c r="Q24" s="282"/>
      <c r="R24" s="282"/>
      <c r="S24" s="285"/>
      <c r="T24" s="282"/>
      <c r="U24" s="282"/>
      <c r="V24" s="282"/>
      <c r="W24" s="282"/>
      <c r="X24" s="282"/>
      <c r="Y24" s="282"/>
      <c r="Z24" s="286"/>
      <c r="AB24" s="256"/>
      <c r="AC24" s="256"/>
      <c r="AD24" s="256"/>
      <c r="AE24" s="256"/>
      <c r="AF24" s="256"/>
      <c r="AG24" s="256"/>
      <c r="AH24" s="256"/>
      <c r="AI24" s="256"/>
      <c r="AJ24" s="256"/>
    </row>
    <row r="25" spans="1:36" s="98" customFormat="1" ht="17.25" customHeight="1">
      <c r="A25" s="42" t="s">
        <v>51</v>
      </c>
      <c r="B25" s="42"/>
      <c r="C25" s="232"/>
      <c r="D25" s="42"/>
      <c r="E25" s="42"/>
      <c r="F25" s="42"/>
      <c r="G25" s="232"/>
      <c r="H25" s="232"/>
      <c r="I25" s="232"/>
      <c r="J25" s="232"/>
      <c r="K25" s="232"/>
      <c r="L25" s="232"/>
      <c r="M25" s="232"/>
      <c r="N25" s="157"/>
      <c r="O25" s="281"/>
      <c r="P25" s="282"/>
      <c r="Q25" s="282"/>
      <c r="R25" s="282"/>
      <c r="S25" s="285"/>
      <c r="T25" s="282"/>
      <c r="U25" s="282"/>
      <c r="V25" s="282"/>
      <c r="W25" s="282"/>
      <c r="X25" s="282"/>
      <c r="Y25" s="282"/>
      <c r="Z25" s="286"/>
      <c r="AB25" s="256"/>
      <c r="AC25" s="256"/>
      <c r="AD25" s="256"/>
      <c r="AE25" s="256"/>
      <c r="AF25" s="256"/>
      <c r="AG25" s="256"/>
      <c r="AH25" s="256"/>
      <c r="AI25" s="256"/>
      <c r="AJ25" s="256"/>
    </row>
    <row r="26" spans="1:36" s="98" customFormat="1" ht="17.25" customHeight="1">
      <c r="A26" s="50" t="s">
        <v>52</v>
      </c>
      <c r="B26" s="232"/>
      <c r="C26" s="23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157"/>
      <c r="O26" s="281"/>
      <c r="P26" s="282"/>
      <c r="Q26" s="282"/>
      <c r="R26" s="282"/>
      <c r="S26" s="285"/>
      <c r="T26" s="282"/>
      <c r="U26" s="282"/>
      <c r="V26" s="282"/>
      <c r="W26" s="282"/>
      <c r="X26" s="282"/>
      <c r="Y26" s="282"/>
      <c r="Z26" s="286"/>
      <c r="AB26" s="256"/>
      <c r="AC26" s="256"/>
      <c r="AD26" s="256"/>
      <c r="AE26" s="256"/>
      <c r="AF26" s="256"/>
      <c r="AG26" s="256"/>
      <c r="AH26" s="256"/>
      <c r="AI26" s="256"/>
      <c r="AJ26" s="256"/>
    </row>
    <row r="27" spans="1:36" s="98" customFormat="1" ht="17.25" customHeight="1">
      <c r="A27" s="50"/>
      <c r="B27" s="232"/>
      <c r="C27" s="23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157"/>
      <c r="O27" s="281"/>
      <c r="P27" s="281"/>
      <c r="Q27" s="281"/>
      <c r="R27" s="281"/>
      <c r="S27" s="294"/>
      <c r="T27" s="282"/>
      <c r="U27" s="342" t="s">
        <v>278</v>
      </c>
      <c r="V27" s="343"/>
      <c r="W27" s="281"/>
      <c r="X27" s="282"/>
      <c r="Y27" s="282"/>
      <c r="Z27" s="282"/>
      <c r="AB27" s="256"/>
      <c r="AC27" s="256"/>
      <c r="AD27" s="254"/>
      <c r="AE27" s="256"/>
      <c r="AF27" s="256"/>
      <c r="AG27" s="256"/>
      <c r="AH27" s="256"/>
      <c r="AI27" s="256"/>
      <c r="AJ27" s="256"/>
    </row>
    <row r="28" spans="1:36" ht="27.75" customHeight="1">
      <c r="A28" s="41" t="s">
        <v>136</v>
      </c>
      <c r="B28" s="42" t="s">
        <v>160</v>
      </c>
      <c r="P28" s="281"/>
      <c r="Q28" s="281"/>
      <c r="R28" s="281"/>
      <c r="S28" s="294"/>
      <c r="U28" s="288" t="s">
        <v>230</v>
      </c>
      <c r="V28" s="288" t="s">
        <v>231</v>
      </c>
      <c r="W28" s="281"/>
      <c r="Z28" s="282"/>
      <c r="AA28" s="98"/>
      <c r="AB28" s="257">
        <f t="shared" ref="AB28:AB69" si="19">S28</f>
        <v>0</v>
      </c>
      <c r="AC28" s="203"/>
      <c r="AD28" s="203"/>
      <c r="AE28" s="258" t="str">
        <f>U28</f>
        <v>CFF/109.2</v>
      </c>
      <c r="AF28" s="258" t="str">
        <f>V28</f>
        <v>CFG/80</v>
      </c>
    </row>
    <row r="29" spans="1:36" ht="17.25" customHeight="1">
      <c r="A29" s="56">
        <f t="shared" ref="A29:A47" ca="1" si="20">T29</f>
        <v>17.737620951011468</v>
      </c>
      <c r="B29" s="52" t="s">
        <v>161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60"/>
      <c r="P29" s="281"/>
      <c r="Q29" s="281"/>
      <c r="R29" s="291" t="s">
        <v>287</v>
      </c>
      <c r="S29" s="326" t="str">
        <f t="shared" ref="S29:S47" si="21">"Non FF "&amp;B29</f>
        <v>Non FF  7th year of service</v>
      </c>
      <c r="T29" s="322" cm="1">
        <f t="array" aca="1" ref="T29" ca="1">IF($R29="Y",VLOOKUP(S29,INDIRECT($P$1),2,0)*INDIRECT($Q$1),VLOOKUP(S29,INDIRECT($P$1),2,0))</f>
        <v>17.737620951011468</v>
      </c>
      <c r="U29" s="292">
        <f ca="1">T29/109.2</f>
        <v>0.1624324262913138</v>
      </c>
      <c r="V29" s="292">
        <f ca="1">T29/80</f>
        <v>0.22172026188764335</v>
      </c>
      <c r="W29" s="296"/>
      <c r="Z29" s="282"/>
      <c r="AA29" s="98"/>
      <c r="AB29" s="203" t="str">
        <f t="shared" si="19"/>
        <v>Non FF  7th year of service</v>
      </c>
      <c r="AC29" s="203"/>
      <c r="AD29" s="203"/>
      <c r="AE29" s="255">
        <f t="shared" ref="AE29:AF44" ca="1" si="22">ROUND(U29,3)</f>
        <v>0.16200000000000001</v>
      </c>
      <c r="AF29" s="255">
        <f t="shared" ca="1" si="22"/>
        <v>0.222</v>
      </c>
    </row>
    <row r="30" spans="1:36" ht="17.25" customHeight="1">
      <c r="A30" s="56">
        <f t="shared" ca="1" si="20"/>
        <v>25.157279388035803</v>
      </c>
      <c r="B30" s="52" t="s">
        <v>162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60"/>
      <c r="P30" s="281"/>
      <c r="Q30" s="281"/>
      <c r="R30" s="291" t="s">
        <v>287</v>
      </c>
      <c r="S30" s="326" t="str">
        <f t="shared" si="21"/>
        <v>Non FF  8th year of service</v>
      </c>
      <c r="T30" s="322" cm="1">
        <f t="array" aca="1" ref="T30" ca="1">IF($R30="Y",VLOOKUP(S30,INDIRECT($P$1),2,0)*INDIRECT($Q$1),VLOOKUP(S30,INDIRECT($P$1),2,0))</f>
        <v>25.157279388035803</v>
      </c>
      <c r="U30" s="292">
        <f t="shared" ref="U30:U47" ca="1" si="23">T30/109.2</f>
        <v>0.23037801637395425</v>
      </c>
      <c r="V30" s="292">
        <f t="shared" ref="V30:V47" ca="1" si="24">T30/80</f>
        <v>0.31446599235044753</v>
      </c>
      <c r="W30" s="296"/>
      <c r="Y30" s="297"/>
      <c r="Z30" s="282"/>
      <c r="AA30" s="98"/>
      <c r="AB30" s="203" t="str">
        <f t="shared" si="19"/>
        <v>Non FF  8th year of service</v>
      </c>
      <c r="AC30" s="203"/>
      <c r="AD30" s="203"/>
      <c r="AE30" s="255">
        <f t="shared" ca="1" si="22"/>
        <v>0.23</v>
      </c>
      <c r="AF30" s="255">
        <f t="shared" ca="1" si="22"/>
        <v>0.314</v>
      </c>
    </row>
    <row r="31" spans="1:36" ht="17.25" customHeight="1">
      <c r="A31" s="56">
        <f t="shared" ca="1" si="20"/>
        <v>32.576937825060241</v>
      </c>
      <c r="B31" s="52" t="s">
        <v>163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160"/>
      <c r="P31" s="281"/>
      <c r="Q31" s="281"/>
      <c r="R31" s="291" t="s">
        <v>287</v>
      </c>
      <c r="S31" s="326" t="str">
        <f t="shared" si="21"/>
        <v>Non FF  9th year of service</v>
      </c>
      <c r="T31" s="322" cm="1">
        <f t="array" aca="1" ref="T31" ca="1">IF($R31="Y",VLOOKUP(S31,INDIRECT($P$1),2,0)*INDIRECT($Q$1),VLOOKUP(S31,INDIRECT($P$1),2,0))</f>
        <v>32.576937825060241</v>
      </c>
      <c r="U31" s="292">
        <f t="shared" ca="1" si="23"/>
        <v>0.29832360645659561</v>
      </c>
      <c r="V31" s="292">
        <f t="shared" ca="1" si="24"/>
        <v>0.40721172281325302</v>
      </c>
      <c r="W31" s="296"/>
      <c r="Y31" s="297"/>
      <c r="Z31" s="282"/>
      <c r="AA31" s="98"/>
      <c r="AB31" s="203" t="str">
        <f t="shared" si="19"/>
        <v>Non FF  9th year of service</v>
      </c>
      <c r="AC31" s="203"/>
      <c r="AD31" s="203"/>
      <c r="AE31" s="255">
        <f t="shared" ca="1" si="22"/>
        <v>0.29799999999999999</v>
      </c>
      <c r="AF31" s="255">
        <f t="shared" ca="1" si="22"/>
        <v>0.40699999999999997</v>
      </c>
    </row>
    <row r="32" spans="1:36" ht="17.25" customHeight="1">
      <c r="A32" s="56">
        <f t="shared" ca="1" si="20"/>
        <v>39.996596262084687</v>
      </c>
      <c r="B32" s="52" t="s">
        <v>164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160"/>
      <c r="P32" s="281"/>
      <c r="Q32" s="281"/>
      <c r="R32" s="291" t="s">
        <v>287</v>
      </c>
      <c r="S32" s="326" t="str">
        <f t="shared" si="21"/>
        <v>Non FF  10th year of service</v>
      </c>
      <c r="T32" s="322" cm="1">
        <f t="array" aca="1" ref="T32" ca="1">IF($R32="Y",VLOOKUP(S32,INDIRECT($P$1),2,0)*INDIRECT($Q$1),VLOOKUP(S32,INDIRECT($P$1),2,0))</f>
        <v>39.996596262084687</v>
      </c>
      <c r="U32" s="292">
        <f t="shared" ca="1" si="23"/>
        <v>0.36626919653923706</v>
      </c>
      <c r="V32" s="292">
        <f t="shared" ca="1" si="24"/>
        <v>0.49995745327605856</v>
      </c>
      <c r="W32" s="296"/>
      <c r="Y32" s="297"/>
      <c r="Z32" s="282"/>
      <c r="AA32" s="98"/>
      <c r="AB32" s="203" t="str">
        <f t="shared" si="19"/>
        <v>Non FF  10th year of service</v>
      </c>
      <c r="AC32" s="203"/>
      <c r="AD32" s="203"/>
      <c r="AE32" s="255">
        <f t="shared" ca="1" si="22"/>
        <v>0.36599999999999999</v>
      </c>
      <c r="AF32" s="255">
        <f t="shared" ca="1" si="22"/>
        <v>0.5</v>
      </c>
    </row>
    <row r="33" spans="1:36" ht="17.25" customHeight="1">
      <c r="A33" s="56">
        <f t="shared" ca="1" si="20"/>
        <v>47.416254699109032</v>
      </c>
      <c r="B33" s="52" t="s">
        <v>165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160"/>
      <c r="P33" s="281"/>
      <c r="Q33" s="281"/>
      <c r="R33" s="291" t="s">
        <v>287</v>
      </c>
      <c r="S33" s="326" t="str">
        <f t="shared" si="21"/>
        <v>Non FF  11th year of service</v>
      </c>
      <c r="T33" s="322" cm="1">
        <f t="array" aca="1" ref="T33" ca="1">IF($R33="Y",VLOOKUP(S33,INDIRECT($P$1),2,0)*INDIRECT($Q$1),VLOOKUP(S33,INDIRECT($P$1),2,0))</f>
        <v>47.416254699109032</v>
      </c>
      <c r="U33" s="292">
        <f t="shared" ca="1" si="23"/>
        <v>0.43421478662187757</v>
      </c>
      <c r="V33" s="292">
        <f t="shared" ca="1" si="24"/>
        <v>0.59270318373886288</v>
      </c>
      <c r="W33" s="296"/>
      <c r="Y33" s="297"/>
      <c r="Z33" s="282"/>
      <c r="AA33" s="98"/>
      <c r="AB33" s="203" t="str">
        <f t="shared" si="19"/>
        <v>Non FF  11th year of service</v>
      </c>
      <c r="AC33" s="203"/>
      <c r="AD33" s="203"/>
      <c r="AE33" s="255">
        <f t="shared" ca="1" si="22"/>
        <v>0.434</v>
      </c>
      <c r="AF33" s="255">
        <f t="shared" ca="1" si="22"/>
        <v>0.59299999999999997</v>
      </c>
    </row>
    <row r="34" spans="1:36" ht="17.25" customHeight="1">
      <c r="A34" s="56">
        <f t="shared" ca="1" si="20"/>
        <v>143.30664508541884</v>
      </c>
      <c r="B34" s="52" t="s">
        <v>166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160"/>
      <c r="P34" s="281"/>
      <c r="Q34" s="281"/>
      <c r="R34" s="291" t="s">
        <v>287</v>
      </c>
      <c r="S34" s="326" t="str">
        <f t="shared" si="21"/>
        <v>Non FF  12th year of service</v>
      </c>
      <c r="T34" s="322" cm="1">
        <f t="array" aca="1" ref="T34" ca="1">IF($R34="Y",VLOOKUP(S34,INDIRECT($P$1),2,0)*INDIRECT($Q$1),VLOOKUP(S34,INDIRECT($P$1),2,0))</f>
        <v>143.30664508541884</v>
      </c>
      <c r="U34" s="292">
        <f t="shared" ca="1" si="23"/>
        <v>1.3123319147016377</v>
      </c>
      <c r="V34" s="292">
        <f t="shared" ca="1" si="24"/>
        <v>1.7913330635677354</v>
      </c>
      <c r="W34" s="296"/>
      <c r="Y34" s="297"/>
      <c r="Z34" s="282"/>
      <c r="AA34" s="98"/>
      <c r="AB34" s="203" t="str">
        <f t="shared" si="19"/>
        <v>Non FF  12th year of service</v>
      </c>
      <c r="AC34" s="203"/>
      <c r="AD34" s="203"/>
      <c r="AE34" s="255">
        <f t="shared" ca="1" si="22"/>
        <v>1.3120000000000001</v>
      </c>
      <c r="AF34" s="255">
        <f t="shared" ca="1" si="22"/>
        <v>1.7909999999999999</v>
      </c>
    </row>
    <row r="35" spans="1:36" ht="17.25" customHeight="1">
      <c r="A35" s="56">
        <f t="shared" ca="1" si="20"/>
        <v>151.36393041937487</v>
      </c>
      <c r="B35" s="52" t="s">
        <v>167</v>
      </c>
      <c r="P35" s="281"/>
      <c r="Q35" s="281"/>
      <c r="R35" s="291" t="s">
        <v>287</v>
      </c>
      <c r="S35" s="326" t="str">
        <f t="shared" si="21"/>
        <v>Non FF  13th year of service</v>
      </c>
      <c r="T35" s="322" cm="1">
        <f t="array" aca="1" ref="T35" ca="1">IF($R35="Y",VLOOKUP(S35,INDIRECT($P$1),2,0)*INDIRECT($Q$1),VLOOKUP(S35,INDIRECT($P$1),2,0))</f>
        <v>151.36393041937487</v>
      </c>
      <c r="U35" s="292">
        <f t="shared" ca="1" si="23"/>
        <v>1.3861165789320042</v>
      </c>
      <c r="V35" s="292">
        <f t="shared" ca="1" si="24"/>
        <v>1.8920491302421858</v>
      </c>
      <c r="W35" s="296"/>
      <c r="Y35" s="297"/>
      <c r="Z35" s="282"/>
      <c r="AA35" s="98"/>
      <c r="AB35" s="203" t="str">
        <f t="shared" si="19"/>
        <v>Non FF  13th year of service</v>
      </c>
      <c r="AC35" s="203"/>
      <c r="AD35" s="203"/>
      <c r="AE35" s="255">
        <f t="shared" ca="1" si="22"/>
        <v>1.3859999999999999</v>
      </c>
      <c r="AF35" s="255">
        <f t="shared" ca="1" si="22"/>
        <v>1.8919999999999999</v>
      </c>
    </row>
    <row r="36" spans="1:36" ht="17.25" customHeight="1">
      <c r="A36" s="56">
        <f t="shared" ca="1" si="20"/>
        <v>159.40672423294589</v>
      </c>
      <c r="B36" s="52" t="s">
        <v>168</v>
      </c>
      <c r="P36" s="281"/>
      <c r="Q36" s="281"/>
      <c r="R36" s="291" t="s">
        <v>287</v>
      </c>
      <c r="S36" s="326" t="str">
        <f t="shared" si="21"/>
        <v>Non FF  14th year of service</v>
      </c>
      <c r="T36" s="322" cm="1">
        <f t="array" aca="1" ref="T36" ca="1">IF($R36="Y",VLOOKUP(S36,INDIRECT($P$1),2,0)*INDIRECT($Q$1),VLOOKUP(S36,INDIRECT($P$1),2,0))</f>
        <v>159.40672423294589</v>
      </c>
      <c r="U36" s="292">
        <f t="shared" ca="1" si="23"/>
        <v>1.4597685369317388</v>
      </c>
      <c r="V36" s="292">
        <f t="shared" ca="1" si="24"/>
        <v>1.9925840529118237</v>
      </c>
      <c r="W36" s="296"/>
      <c r="Y36" s="297"/>
      <c r="Z36" s="282"/>
      <c r="AA36" s="98"/>
      <c r="AB36" s="203" t="str">
        <f t="shared" si="19"/>
        <v>Non FF  14th year of service</v>
      </c>
      <c r="AC36" s="203"/>
      <c r="AD36" s="203"/>
      <c r="AE36" s="255">
        <f t="shared" ca="1" si="22"/>
        <v>1.46</v>
      </c>
      <c r="AF36" s="255">
        <f t="shared" ca="1" si="22"/>
        <v>1.9930000000000001</v>
      </c>
    </row>
    <row r="37" spans="1:36" s="98" customFormat="1" ht="17.25" customHeight="1">
      <c r="A37" s="56">
        <f t="shared" ca="1" si="20"/>
        <v>208.50399529669335</v>
      </c>
      <c r="B37" s="52" t="s">
        <v>169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157"/>
      <c r="O37" s="281"/>
      <c r="P37" s="281"/>
      <c r="Q37" s="281"/>
      <c r="R37" s="291" t="s">
        <v>287</v>
      </c>
      <c r="S37" s="326" t="str">
        <f t="shared" si="21"/>
        <v>Non FF  15th year of service</v>
      </c>
      <c r="T37" s="322" cm="1">
        <f t="array" aca="1" ref="T37" ca="1">IF($R37="Y",VLOOKUP(S37,INDIRECT($P$1),2,0)*INDIRECT($Q$1),VLOOKUP(S37,INDIRECT($P$1),2,0))</f>
        <v>208.50399529669335</v>
      </c>
      <c r="U37" s="292">
        <f t="shared" ca="1" si="23"/>
        <v>1.9093772463067156</v>
      </c>
      <c r="V37" s="292">
        <f t="shared" ca="1" si="24"/>
        <v>2.6062999412086669</v>
      </c>
      <c r="W37" s="296"/>
      <c r="X37" s="282"/>
      <c r="Y37" s="297"/>
      <c r="Z37" s="282"/>
      <c r="AB37" s="203" t="str">
        <f t="shared" si="19"/>
        <v>Non FF  15th year of service</v>
      </c>
      <c r="AC37" s="203"/>
      <c r="AD37" s="203"/>
      <c r="AE37" s="255">
        <f t="shared" ca="1" si="22"/>
        <v>1.909</v>
      </c>
      <c r="AF37" s="255">
        <f t="shared" ca="1" si="22"/>
        <v>2.6059999999999999</v>
      </c>
      <c r="AG37" s="254"/>
      <c r="AH37" s="254"/>
      <c r="AI37" s="254"/>
      <c r="AJ37" s="254"/>
    </row>
    <row r="38" spans="1:36" s="98" customFormat="1" ht="17.25" customHeight="1">
      <c r="A38" s="56">
        <f t="shared" ca="1" si="20"/>
        <v>216.5467891102644</v>
      </c>
      <c r="B38" s="52" t="s">
        <v>170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157"/>
      <c r="O38" s="281"/>
      <c r="P38" s="281"/>
      <c r="Q38" s="281"/>
      <c r="R38" s="291" t="s">
        <v>287</v>
      </c>
      <c r="S38" s="326" t="str">
        <f t="shared" si="21"/>
        <v>Non FF  16th year of service</v>
      </c>
      <c r="T38" s="322" cm="1">
        <f t="array" aca="1" ref="T38" ca="1">IF($R38="Y",VLOOKUP(S38,INDIRECT($P$1),2,0)*INDIRECT($Q$1),VLOOKUP(S38,INDIRECT($P$1),2,0))</f>
        <v>216.5467891102644</v>
      </c>
      <c r="U38" s="292">
        <f t="shared" ca="1" si="23"/>
        <v>1.9830292043064506</v>
      </c>
      <c r="V38" s="292">
        <f t="shared" ca="1" si="24"/>
        <v>2.7068348638783051</v>
      </c>
      <c r="W38" s="296"/>
      <c r="X38" s="282"/>
      <c r="Y38" s="297"/>
      <c r="Z38" s="282"/>
      <c r="AB38" s="203" t="str">
        <f t="shared" si="19"/>
        <v>Non FF  16th year of service</v>
      </c>
      <c r="AC38" s="203"/>
      <c r="AD38" s="203"/>
      <c r="AE38" s="255">
        <f t="shared" ca="1" si="22"/>
        <v>1.9830000000000001</v>
      </c>
      <c r="AF38" s="255">
        <f t="shared" ca="1" si="22"/>
        <v>2.7069999999999999</v>
      </c>
      <c r="AG38" s="254"/>
      <c r="AH38" s="254"/>
      <c r="AI38" s="254"/>
      <c r="AJ38" s="254"/>
    </row>
    <row r="39" spans="1:36" s="98" customFormat="1" ht="17.25" customHeight="1">
      <c r="A39" s="56">
        <f t="shared" ca="1" si="20"/>
        <v>224.60407444422046</v>
      </c>
      <c r="B39" s="52" t="s">
        <v>171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157"/>
      <c r="O39" s="281"/>
      <c r="P39" s="281"/>
      <c r="Q39" s="281"/>
      <c r="R39" s="291" t="s">
        <v>287</v>
      </c>
      <c r="S39" s="326" t="str">
        <f t="shared" si="21"/>
        <v>Non FF  17th year of service</v>
      </c>
      <c r="T39" s="322" cm="1">
        <f t="array" aca="1" ref="T39" ca="1">IF($R39="Y",VLOOKUP(S39,INDIRECT($P$1),2,0)*INDIRECT($Q$1),VLOOKUP(S39,INDIRECT($P$1),2,0))</f>
        <v>224.60407444422046</v>
      </c>
      <c r="U39" s="292">
        <f t="shared" ca="1" si="23"/>
        <v>2.0568138685368171</v>
      </c>
      <c r="V39" s="292">
        <f t="shared" ca="1" si="24"/>
        <v>2.8075509305527557</v>
      </c>
      <c r="W39" s="296"/>
      <c r="X39" s="282"/>
      <c r="Y39" s="297"/>
      <c r="Z39" s="282"/>
      <c r="AB39" s="203" t="str">
        <f t="shared" si="19"/>
        <v>Non FF  17th year of service</v>
      </c>
      <c r="AC39" s="203"/>
      <c r="AD39" s="203"/>
      <c r="AE39" s="255">
        <f t="shared" ca="1" si="22"/>
        <v>2.0569999999999999</v>
      </c>
      <c r="AF39" s="255">
        <f t="shared" ca="1" si="22"/>
        <v>2.8079999999999998</v>
      </c>
      <c r="AG39" s="254"/>
      <c r="AH39" s="254"/>
      <c r="AI39" s="254"/>
      <c r="AJ39" s="254"/>
    </row>
    <row r="40" spans="1:36" s="98" customFormat="1" ht="17.25" customHeight="1">
      <c r="A40" s="56">
        <f t="shared" ca="1" si="20"/>
        <v>232.66135977817763</v>
      </c>
      <c r="B40" s="52" t="s">
        <v>172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157"/>
      <c r="O40" s="281"/>
      <c r="P40" s="281"/>
      <c r="Q40" s="281"/>
      <c r="R40" s="291" t="s">
        <v>287</v>
      </c>
      <c r="S40" s="326" t="str">
        <f t="shared" si="21"/>
        <v>Non FF  18th year of service</v>
      </c>
      <c r="T40" s="322" cm="1">
        <f t="array" aca="1" ref="T40" ca="1">IF($R40="Y",VLOOKUP(S40,INDIRECT($P$1),2,0)*INDIRECT($Q$1),VLOOKUP(S40,INDIRECT($P$1),2,0))</f>
        <v>232.66135977817763</v>
      </c>
      <c r="U40" s="292">
        <f t="shared" ca="1" si="23"/>
        <v>2.1305985327671944</v>
      </c>
      <c r="V40" s="292">
        <f t="shared" ca="1" si="24"/>
        <v>2.9082669972272202</v>
      </c>
      <c r="W40" s="296"/>
      <c r="X40" s="282"/>
      <c r="Y40" s="297"/>
      <c r="Z40" s="282"/>
      <c r="AB40" s="203" t="str">
        <f t="shared" si="19"/>
        <v>Non FF  18th year of service</v>
      </c>
      <c r="AC40" s="203"/>
      <c r="AD40" s="203"/>
      <c r="AE40" s="255">
        <f t="shared" ca="1" si="22"/>
        <v>2.1309999999999998</v>
      </c>
      <c r="AF40" s="255">
        <f t="shared" ca="1" si="22"/>
        <v>2.9079999999999999</v>
      </c>
      <c r="AG40" s="254"/>
      <c r="AH40" s="254"/>
      <c r="AI40" s="254"/>
      <c r="AJ40" s="254"/>
    </row>
    <row r="41" spans="1:36" s="98" customFormat="1" ht="17.25" customHeight="1">
      <c r="A41" s="56">
        <f t="shared" ca="1" si="20"/>
        <v>255.49999590464279</v>
      </c>
      <c r="B41" s="52" t="s">
        <v>173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157"/>
      <c r="O41" s="281"/>
      <c r="P41" s="281"/>
      <c r="Q41" s="281"/>
      <c r="R41" s="291" t="s">
        <v>287</v>
      </c>
      <c r="S41" s="326" t="str">
        <f t="shared" si="21"/>
        <v>Non FF  19th year of service</v>
      </c>
      <c r="T41" s="322" cm="1">
        <f t="array" aca="1" ref="T41" ca="1">IF($R41="Y",VLOOKUP(S41,INDIRECT($P$1),2,0)*INDIRECT($Q$1),VLOOKUP(S41,INDIRECT($P$1),2,0))</f>
        <v>255.49999590464279</v>
      </c>
      <c r="U41" s="292">
        <f t="shared" ca="1" si="23"/>
        <v>2.3397435522403187</v>
      </c>
      <c r="V41" s="292">
        <f t="shared" ca="1" si="24"/>
        <v>3.1937499488080348</v>
      </c>
      <c r="W41" s="296"/>
      <c r="X41" s="282"/>
      <c r="Y41" s="297"/>
      <c r="Z41" s="282"/>
      <c r="AB41" s="203" t="str">
        <f t="shared" si="19"/>
        <v>Non FF  19th year of service</v>
      </c>
      <c r="AC41" s="203"/>
      <c r="AD41" s="203"/>
      <c r="AE41" s="255">
        <f t="shared" ca="1" si="22"/>
        <v>2.34</v>
      </c>
      <c r="AF41" s="255">
        <f t="shared" ca="1" si="22"/>
        <v>3.194</v>
      </c>
      <c r="AG41" s="254"/>
      <c r="AH41" s="254"/>
      <c r="AI41" s="254"/>
      <c r="AJ41" s="254"/>
    </row>
    <row r="42" spans="1:36" s="98" customFormat="1" ht="17.25" customHeight="1">
      <c r="A42" s="56">
        <f t="shared" ca="1" si="20"/>
        <v>321.00166804399862</v>
      </c>
      <c r="B42" s="52" t="s">
        <v>174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157"/>
      <c r="O42" s="281"/>
      <c r="P42" s="281"/>
      <c r="Q42" s="281"/>
      <c r="R42" s="291" t="s">
        <v>287</v>
      </c>
      <c r="S42" s="326" t="str">
        <f t="shared" si="21"/>
        <v>Non FF  20th year of service</v>
      </c>
      <c r="T42" s="322" cm="1">
        <f t="array" aca="1" ref="T42" ca="1">IF($R42="Y",VLOOKUP(S42,INDIRECT($P$1),2,0)*INDIRECT($Q$1),VLOOKUP(S42,INDIRECT($P$1),2,0))</f>
        <v>321.00166804399862</v>
      </c>
      <c r="U42" s="292">
        <f t="shared" ca="1" si="23"/>
        <v>2.9395757146886319</v>
      </c>
      <c r="V42" s="292">
        <f t="shared" ca="1" si="24"/>
        <v>4.0125208505499828</v>
      </c>
      <c r="W42" s="296"/>
      <c r="X42" s="282"/>
      <c r="Y42" s="297"/>
      <c r="Z42" s="282"/>
      <c r="AB42" s="203" t="str">
        <f t="shared" si="19"/>
        <v>Non FF  20th year of service</v>
      </c>
      <c r="AC42" s="203"/>
      <c r="AD42" s="203"/>
      <c r="AE42" s="255">
        <f t="shared" ca="1" si="22"/>
        <v>2.94</v>
      </c>
      <c r="AF42" s="255">
        <f t="shared" ca="1" si="22"/>
        <v>4.0129999999999999</v>
      </c>
      <c r="AG42" s="254"/>
      <c r="AH42" s="254"/>
      <c r="AI42" s="254"/>
      <c r="AJ42" s="254"/>
    </row>
    <row r="43" spans="1:36" s="98" customFormat="1" ht="17.25" customHeight="1">
      <c r="A43" s="56">
        <f t="shared" ca="1" si="20"/>
        <v>329.05895337795471</v>
      </c>
      <c r="B43" s="52" t="s">
        <v>175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157"/>
      <c r="O43" s="281"/>
      <c r="P43" s="281"/>
      <c r="Q43" s="281"/>
      <c r="R43" s="291" t="s">
        <v>287</v>
      </c>
      <c r="S43" s="326" t="str">
        <f t="shared" si="21"/>
        <v>Non FF  21st year of service</v>
      </c>
      <c r="T43" s="322" cm="1">
        <f t="array" aca="1" ref="T43" ca="1">IF($R43="Y",VLOOKUP(S43,INDIRECT($P$1),2,0)*INDIRECT($Q$1),VLOOKUP(S43,INDIRECT($P$1),2,0))</f>
        <v>329.05895337795471</v>
      </c>
      <c r="U43" s="292">
        <f t="shared" ca="1" si="23"/>
        <v>3.0133603789189989</v>
      </c>
      <c r="V43" s="292">
        <f t="shared" ca="1" si="24"/>
        <v>4.1132369172244339</v>
      </c>
      <c r="W43" s="296"/>
      <c r="X43" s="282"/>
      <c r="Y43" s="297"/>
      <c r="Z43" s="282"/>
      <c r="AB43" s="203" t="str">
        <f t="shared" si="19"/>
        <v>Non FF  21st year of service</v>
      </c>
      <c r="AC43" s="203"/>
      <c r="AD43" s="203"/>
      <c r="AE43" s="255">
        <f t="shared" ca="1" si="22"/>
        <v>3.0129999999999999</v>
      </c>
      <c r="AF43" s="255">
        <f t="shared" ca="1" si="22"/>
        <v>4.1130000000000004</v>
      </c>
      <c r="AG43" s="254"/>
      <c r="AH43" s="254"/>
      <c r="AI43" s="254"/>
      <c r="AJ43" s="254"/>
    </row>
    <row r="44" spans="1:36" s="98" customFormat="1" ht="17.25" customHeight="1">
      <c r="A44" s="56">
        <f t="shared" ca="1" si="20"/>
        <v>337.11623871191074</v>
      </c>
      <c r="B44" s="52" t="s">
        <v>176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157"/>
      <c r="O44" s="281"/>
      <c r="P44" s="281"/>
      <c r="Q44" s="281"/>
      <c r="R44" s="291" t="s">
        <v>287</v>
      </c>
      <c r="S44" s="326" t="str">
        <f t="shared" si="21"/>
        <v>Non FF  22nd year of service</v>
      </c>
      <c r="T44" s="322" cm="1">
        <f t="array" aca="1" ref="T44" ca="1">IF($R44="Y",VLOOKUP(S44,INDIRECT($P$1),2,0)*INDIRECT($Q$1),VLOOKUP(S44,INDIRECT($P$1),2,0))</f>
        <v>337.11623871191074</v>
      </c>
      <c r="U44" s="292">
        <f t="shared" ca="1" si="23"/>
        <v>3.0871450431493659</v>
      </c>
      <c r="V44" s="292">
        <f t="shared" ca="1" si="24"/>
        <v>4.2139529838988841</v>
      </c>
      <c r="W44" s="296"/>
      <c r="X44" s="282"/>
      <c r="Y44" s="297"/>
      <c r="Z44" s="282"/>
      <c r="AB44" s="203" t="str">
        <f t="shared" si="19"/>
        <v>Non FF  22nd year of service</v>
      </c>
      <c r="AC44" s="203"/>
      <c r="AD44" s="203"/>
      <c r="AE44" s="255">
        <f t="shared" ca="1" si="22"/>
        <v>3.0870000000000002</v>
      </c>
      <c r="AF44" s="255">
        <f t="shared" ca="1" si="22"/>
        <v>4.2140000000000004</v>
      </c>
      <c r="AG44" s="254"/>
      <c r="AH44" s="254"/>
      <c r="AI44" s="254"/>
      <c r="AJ44" s="254"/>
    </row>
    <row r="45" spans="1:36" s="98" customFormat="1" ht="17.25" customHeight="1">
      <c r="A45" s="56">
        <f t="shared" ca="1" si="20"/>
        <v>345.17352404586785</v>
      </c>
      <c r="B45" s="52" t="s">
        <v>177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157"/>
      <c r="O45" s="281"/>
      <c r="P45" s="281"/>
      <c r="Q45" s="281"/>
      <c r="R45" s="291" t="s">
        <v>287</v>
      </c>
      <c r="S45" s="326" t="str">
        <f t="shared" si="21"/>
        <v>Non FF  23rd year of service</v>
      </c>
      <c r="T45" s="322" cm="1">
        <f t="array" aca="1" ref="T45" ca="1">IF($R45="Y",VLOOKUP(S45,INDIRECT($P$1),2,0)*INDIRECT($Q$1),VLOOKUP(S45,INDIRECT($P$1),2,0))</f>
        <v>345.17352404586785</v>
      </c>
      <c r="U45" s="292">
        <f t="shared" ca="1" si="23"/>
        <v>3.1609297073797422</v>
      </c>
      <c r="V45" s="292">
        <f t="shared" ca="1" si="24"/>
        <v>4.3146690505733485</v>
      </c>
      <c r="W45" s="296"/>
      <c r="X45" s="282"/>
      <c r="Y45" s="297"/>
      <c r="Z45" s="282"/>
      <c r="AB45" s="203" t="str">
        <f t="shared" si="19"/>
        <v>Non FF  23rd year of service</v>
      </c>
      <c r="AC45" s="203"/>
      <c r="AD45" s="203"/>
      <c r="AE45" s="255">
        <f t="shared" ref="AE45:AF69" ca="1" si="25">ROUND(U45,3)</f>
        <v>3.161</v>
      </c>
      <c r="AF45" s="255">
        <f t="shared" ca="1" si="25"/>
        <v>4.3150000000000004</v>
      </c>
      <c r="AG45" s="254"/>
      <c r="AH45" s="254"/>
      <c r="AI45" s="254"/>
      <c r="AJ45" s="254"/>
    </row>
    <row r="46" spans="1:36" s="98" customFormat="1" ht="17.25" customHeight="1">
      <c r="A46" s="56">
        <f t="shared" ca="1" si="20"/>
        <v>353.23080937982388</v>
      </c>
      <c r="B46" s="52" t="s">
        <v>178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157"/>
      <c r="O46" s="281"/>
      <c r="P46" s="281"/>
      <c r="Q46" s="281"/>
      <c r="R46" s="291" t="s">
        <v>287</v>
      </c>
      <c r="S46" s="326" t="str">
        <f t="shared" si="21"/>
        <v>Non FF  24th year of service</v>
      </c>
      <c r="T46" s="322" cm="1">
        <f t="array" aca="1" ref="T46" ca="1">IF($R46="Y",VLOOKUP(S46,INDIRECT($P$1),2,0)*INDIRECT($Q$1),VLOOKUP(S46,INDIRECT($P$1),2,0))</f>
        <v>353.23080937982388</v>
      </c>
      <c r="U46" s="292">
        <f t="shared" ca="1" si="23"/>
        <v>3.2347143716101088</v>
      </c>
      <c r="V46" s="292">
        <f t="shared" ca="1" si="24"/>
        <v>4.4153851172477987</v>
      </c>
      <c r="W46" s="296"/>
      <c r="X46" s="282"/>
      <c r="Y46" s="297"/>
      <c r="Z46" s="282"/>
      <c r="AB46" s="203" t="str">
        <f t="shared" si="19"/>
        <v>Non FF  24th year of service</v>
      </c>
      <c r="AC46" s="203"/>
      <c r="AD46" s="203"/>
      <c r="AE46" s="255">
        <f t="shared" ca="1" si="25"/>
        <v>3.2349999999999999</v>
      </c>
      <c r="AF46" s="255">
        <f t="shared" ca="1" si="25"/>
        <v>4.415</v>
      </c>
      <c r="AG46" s="254"/>
      <c r="AH46" s="254"/>
      <c r="AI46" s="254"/>
      <c r="AJ46" s="254"/>
    </row>
    <row r="47" spans="1:36" s="98" customFormat="1" ht="17.25" customHeight="1">
      <c r="A47" s="56">
        <f t="shared" ca="1" si="20"/>
        <v>385.89469632719306</v>
      </c>
      <c r="B47" s="52" t="s">
        <v>179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157"/>
      <c r="O47" s="281"/>
      <c r="P47" s="281"/>
      <c r="Q47" s="281"/>
      <c r="R47" s="291" t="s">
        <v>287</v>
      </c>
      <c r="S47" s="326" t="str">
        <f t="shared" si="21"/>
        <v>Non FF  25th year of service</v>
      </c>
      <c r="T47" s="322" cm="1">
        <f t="array" aca="1" ref="T47" ca="1">IF($R47="Y",VLOOKUP(S47,INDIRECT($P$1),2,0)*INDIRECT($Q$1),VLOOKUP(S47,INDIRECT($P$1),2,0))</f>
        <v>385.89469632719306</v>
      </c>
      <c r="U47" s="292">
        <f t="shared" ca="1" si="23"/>
        <v>3.5338342154504856</v>
      </c>
      <c r="V47" s="292">
        <f t="shared" ca="1" si="24"/>
        <v>4.8236837040899134</v>
      </c>
      <c r="W47" s="296"/>
      <c r="X47" s="282"/>
      <c r="Y47" s="297"/>
      <c r="Z47" s="282"/>
      <c r="AB47" s="203" t="str">
        <f t="shared" si="19"/>
        <v>Non FF  25th year of service</v>
      </c>
      <c r="AC47" s="203"/>
      <c r="AD47" s="203"/>
      <c r="AE47" s="255">
        <f t="shared" ca="1" si="25"/>
        <v>3.5339999999999998</v>
      </c>
      <c r="AF47" s="255">
        <f t="shared" ca="1" si="25"/>
        <v>4.8239999999999998</v>
      </c>
      <c r="AG47" s="254"/>
      <c r="AH47" s="254"/>
      <c r="AI47" s="254"/>
      <c r="AJ47" s="254"/>
    </row>
    <row r="48" spans="1:36" s="98" customFormat="1">
      <c r="A48" s="317"/>
      <c r="B48" s="5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157"/>
      <c r="O48" s="281"/>
      <c r="P48" s="281"/>
      <c r="Q48" s="281"/>
      <c r="R48" s="295"/>
      <c r="S48" s="285"/>
      <c r="T48" s="282"/>
      <c r="U48" s="298"/>
      <c r="V48" s="299"/>
      <c r="W48" s="299"/>
      <c r="X48" s="282"/>
      <c r="Y48" s="282"/>
      <c r="Z48" s="282"/>
      <c r="AB48" s="254"/>
      <c r="AC48" s="254"/>
      <c r="AD48" s="254"/>
      <c r="AE48" s="259"/>
      <c r="AF48" s="259"/>
      <c r="AG48" s="254"/>
      <c r="AH48" s="254"/>
      <c r="AI48" s="254"/>
      <c r="AJ48" s="254"/>
    </row>
    <row r="49" spans="1:36" s="98" customFormat="1" ht="27.75" customHeight="1">
      <c r="A49" s="318" t="s">
        <v>136</v>
      </c>
      <c r="B49" s="42" t="s">
        <v>181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157"/>
      <c r="O49" s="281"/>
      <c r="P49" s="281"/>
      <c r="Q49" s="281"/>
      <c r="R49" s="295"/>
      <c r="S49" s="285"/>
      <c r="T49" s="282"/>
      <c r="U49" s="288" t="s">
        <v>232</v>
      </c>
      <c r="V49" s="288" t="s">
        <v>233</v>
      </c>
      <c r="W49" s="281"/>
      <c r="X49" s="282"/>
      <c r="Y49" s="282"/>
      <c r="Z49" s="282"/>
      <c r="AB49" s="257" t="s">
        <v>297</v>
      </c>
      <c r="AC49" s="203"/>
      <c r="AD49" s="257"/>
      <c r="AE49" s="258" t="str">
        <f>U49</f>
        <v>CFH/109.2</v>
      </c>
      <c r="AF49" s="258" t="str">
        <f>V49</f>
        <v>CFI/80</v>
      </c>
      <c r="AG49" s="254"/>
      <c r="AH49" s="254"/>
      <c r="AI49" s="254"/>
      <c r="AJ49" s="254"/>
    </row>
    <row r="50" spans="1:36" s="98" customFormat="1" ht="17.25" customHeight="1">
      <c r="A50" s="56">
        <f ca="1">T50</f>
        <v>17.737620951011468</v>
      </c>
      <c r="B50" s="52" t="s">
        <v>161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160"/>
      <c r="O50" s="281"/>
      <c r="P50" s="281"/>
      <c r="Q50" s="281"/>
      <c r="R50" s="291" t="s">
        <v>287</v>
      </c>
      <c r="S50" s="326" t="str">
        <f t="shared" ref="S50:S69" si="26">"FF "&amp;B50</f>
        <v>FF  7th year of service</v>
      </c>
      <c r="T50" s="322" cm="1">
        <f t="array" aca="1" ref="T50" ca="1">IF($R50="Y",VLOOKUP(S50,INDIRECT($P$1),2,0)*INDIRECT($Q$1),VLOOKUP(S50,INDIRECT($P$1),2,0))</f>
        <v>17.737620951011468</v>
      </c>
      <c r="U50" s="292">
        <f t="shared" ref="U50:U69" ca="1" si="27">T50/109.2</f>
        <v>0.1624324262913138</v>
      </c>
      <c r="V50" s="292">
        <f t="shared" ref="V50" ca="1" si="28">T50/80</f>
        <v>0.22172026188764335</v>
      </c>
      <c r="W50" s="296"/>
      <c r="X50" s="282"/>
      <c r="Y50" s="282"/>
      <c r="Z50" s="282"/>
      <c r="AB50" s="203" t="str">
        <f t="shared" si="19"/>
        <v>FF  7th year of service</v>
      </c>
      <c r="AC50" s="203"/>
      <c r="AD50" s="203"/>
      <c r="AE50" s="255">
        <f t="shared" ca="1" si="25"/>
        <v>0.16200000000000001</v>
      </c>
      <c r="AF50" s="255">
        <f t="shared" ca="1" si="25"/>
        <v>0.222</v>
      </c>
      <c r="AG50" s="254"/>
      <c r="AH50" s="254"/>
      <c r="AI50" s="254"/>
      <c r="AJ50" s="254"/>
    </row>
    <row r="51" spans="1:36" s="98" customFormat="1" ht="17.25" customHeight="1">
      <c r="A51" s="56">
        <f t="shared" ref="A51:A69" ca="1" si="29">T51</f>
        <v>25.157279388035803</v>
      </c>
      <c r="B51" s="52" t="s">
        <v>162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60"/>
      <c r="O51" s="281"/>
      <c r="P51" s="281"/>
      <c r="Q51" s="281"/>
      <c r="R51" s="291" t="s">
        <v>287</v>
      </c>
      <c r="S51" s="326" t="str">
        <f t="shared" si="26"/>
        <v>FF  8th year of service</v>
      </c>
      <c r="T51" s="322" cm="1">
        <f t="array" aca="1" ref="T51" ca="1">IF($R51="Y",VLOOKUP(S51,INDIRECT($P$1),2,0)*INDIRECT($Q$1),VLOOKUP(S51,INDIRECT($P$1),2,0))</f>
        <v>25.157279388035803</v>
      </c>
      <c r="U51" s="292">
        <f t="shared" ca="1" si="27"/>
        <v>0.23037801637395425</v>
      </c>
      <c r="V51" s="292">
        <f t="shared" ref="V51:V52" ca="1" si="30">T51/80</f>
        <v>0.31446599235044753</v>
      </c>
      <c r="W51" s="296"/>
      <c r="X51" s="282"/>
      <c r="Y51" s="297"/>
      <c r="Z51" s="282"/>
      <c r="AB51" s="203" t="str">
        <f t="shared" si="19"/>
        <v>FF  8th year of service</v>
      </c>
      <c r="AC51" s="203"/>
      <c r="AD51" s="203"/>
      <c r="AE51" s="255">
        <f t="shared" ca="1" si="25"/>
        <v>0.23</v>
      </c>
      <c r="AF51" s="255">
        <f t="shared" ca="1" si="25"/>
        <v>0.314</v>
      </c>
      <c r="AG51" s="254"/>
      <c r="AH51" s="254"/>
      <c r="AI51" s="254"/>
      <c r="AJ51" s="254"/>
    </row>
    <row r="52" spans="1:36" s="98" customFormat="1" ht="17.25" customHeight="1">
      <c r="A52" s="56">
        <f t="shared" ca="1" si="29"/>
        <v>32.576937825060241</v>
      </c>
      <c r="B52" s="52" t="s">
        <v>163</v>
      </c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160"/>
      <c r="O52" s="281"/>
      <c r="P52" s="281"/>
      <c r="Q52" s="281"/>
      <c r="R52" s="291" t="s">
        <v>287</v>
      </c>
      <c r="S52" s="326" t="str">
        <f t="shared" si="26"/>
        <v>FF  9th year of service</v>
      </c>
      <c r="T52" s="322" cm="1">
        <f t="array" aca="1" ref="T52" ca="1">IF($R52="Y",VLOOKUP(S52,INDIRECT($P$1),2,0)*INDIRECT($Q$1),VLOOKUP(S52,INDIRECT($P$1),2,0))</f>
        <v>32.576937825060241</v>
      </c>
      <c r="U52" s="292">
        <f t="shared" ca="1" si="27"/>
        <v>0.29832360645659561</v>
      </c>
      <c r="V52" s="292">
        <f t="shared" ca="1" si="30"/>
        <v>0.40721172281325302</v>
      </c>
      <c r="W52" s="296"/>
      <c r="X52" s="282"/>
      <c r="Y52" s="297"/>
      <c r="Z52" s="282"/>
      <c r="AB52" s="203" t="str">
        <f t="shared" si="19"/>
        <v>FF  9th year of service</v>
      </c>
      <c r="AC52" s="203"/>
      <c r="AD52" s="203"/>
      <c r="AE52" s="255">
        <f t="shared" ca="1" si="25"/>
        <v>0.29799999999999999</v>
      </c>
      <c r="AF52" s="255">
        <f t="shared" ca="1" si="25"/>
        <v>0.40699999999999997</v>
      </c>
      <c r="AG52" s="254"/>
      <c r="AH52" s="254"/>
      <c r="AI52" s="254"/>
      <c r="AJ52" s="254"/>
    </row>
    <row r="53" spans="1:36" s="98" customFormat="1" ht="17.25" customHeight="1">
      <c r="A53" s="56">
        <f t="shared" ca="1" si="29"/>
        <v>39.996596262084687</v>
      </c>
      <c r="B53" s="52" t="s">
        <v>164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160"/>
      <c r="O53" s="281"/>
      <c r="P53" s="281"/>
      <c r="Q53" s="281"/>
      <c r="R53" s="291" t="s">
        <v>287</v>
      </c>
      <c r="S53" s="326" t="str">
        <f t="shared" si="26"/>
        <v>FF  10th year of service</v>
      </c>
      <c r="T53" s="322" cm="1">
        <f t="array" aca="1" ref="T53" ca="1">IF($R53="Y",VLOOKUP(S53,INDIRECT($P$1),2,0)*INDIRECT($Q$1),VLOOKUP(S53,INDIRECT($P$1),2,0))</f>
        <v>39.996596262084687</v>
      </c>
      <c r="U53" s="292">
        <f t="shared" ca="1" si="27"/>
        <v>0.36626919653923706</v>
      </c>
      <c r="V53" s="292">
        <f t="shared" ref="V53:V69" ca="1" si="31">T53/80</f>
        <v>0.49995745327605856</v>
      </c>
      <c r="W53" s="296"/>
      <c r="X53" s="282"/>
      <c r="Y53" s="297"/>
      <c r="Z53" s="282"/>
      <c r="AB53" s="203" t="str">
        <f t="shared" si="19"/>
        <v>FF  10th year of service</v>
      </c>
      <c r="AC53" s="203"/>
      <c r="AD53" s="203"/>
      <c r="AE53" s="255">
        <f t="shared" ca="1" si="25"/>
        <v>0.36599999999999999</v>
      </c>
      <c r="AF53" s="255">
        <f t="shared" ca="1" si="25"/>
        <v>0.5</v>
      </c>
      <c r="AG53" s="254"/>
      <c r="AH53" s="254"/>
      <c r="AI53" s="254"/>
      <c r="AJ53" s="254"/>
    </row>
    <row r="54" spans="1:36" s="98" customFormat="1" ht="17.25" customHeight="1">
      <c r="A54" s="56">
        <f t="shared" ca="1" si="29"/>
        <v>47.416254699109032</v>
      </c>
      <c r="B54" s="52" t="s">
        <v>165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160"/>
      <c r="O54" s="281"/>
      <c r="P54" s="281"/>
      <c r="Q54" s="281"/>
      <c r="R54" s="291" t="s">
        <v>287</v>
      </c>
      <c r="S54" s="326" t="str">
        <f t="shared" si="26"/>
        <v>FF  11th year of service</v>
      </c>
      <c r="T54" s="322" cm="1">
        <f t="array" aca="1" ref="T54" ca="1">IF($R54="Y",VLOOKUP(S54,INDIRECT($P$1),2,0)*INDIRECT($Q$1),VLOOKUP(S54,INDIRECT($P$1),2,0))</f>
        <v>47.416254699109032</v>
      </c>
      <c r="U54" s="292">
        <f t="shared" ca="1" si="27"/>
        <v>0.43421478662187757</v>
      </c>
      <c r="V54" s="292">
        <f t="shared" ca="1" si="31"/>
        <v>0.59270318373886288</v>
      </c>
      <c r="W54" s="296"/>
      <c r="X54" s="282"/>
      <c r="Y54" s="297"/>
      <c r="Z54" s="282"/>
      <c r="AB54" s="203" t="str">
        <f t="shared" si="19"/>
        <v>FF  11th year of service</v>
      </c>
      <c r="AC54" s="203"/>
      <c r="AD54" s="203"/>
      <c r="AE54" s="255">
        <f t="shared" ca="1" si="25"/>
        <v>0.434</v>
      </c>
      <c r="AF54" s="255">
        <f t="shared" ca="1" si="25"/>
        <v>0.59299999999999997</v>
      </c>
      <c r="AG54" s="254"/>
      <c r="AH54" s="254"/>
      <c r="AI54" s="254"/>
      <c r="AJ54" s="254"/>
    </row>
    <row r="55" spans="1:36" s="98" customFormat="1" ht="17.25" customHeight="1">
      <c r="A55" s="56">
        <f t="shared" ca="1" si="29"/>
        <v>143.30664508541884</v>
      </c>
      <c r="B55" s="52" t="s">
        <v>166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160"/>
      <c r="O55" s="281"/>
      <c r="P55" s="281"/>
      <c r="Q55" s="281"/>
      <c r="R55" s="291" t="s">
        <v>287</v>
      </c>
      <c r="S55" s="326" t="str">
        <f t="shared" si="26"/>
        <v>FF  12th year of service</v>
      </c>
      <c r="T55" s="322" cm="1">
        <f t="array" aca="1" ref="T55" ca="1">IF($R55="Y",VLOOKUP(S55,INDIRECT($P$1),2,0)*INDIRECT($Q$1),VLOOKUP(S55,INDIRECT($P$1),2,0))</f>
        <v>143.30664508541884</v>
      </c>
      <c r="U55" s="292">
        <f t="shared" ca="1" si="27"/>
        <v>1.3123319147016377</v>
      </c>
      <c r="V55" s="292">
        <f t="shared" ca="1" si="31"/>
        <v>1.7913330635677354</v>
      </c>
      <c r="W55" s="296"/>
      <c r="X55" s="282"/>
      <c r="Y55" s="297"/>
      <c r="Z55" s="282"/>
      <c r="AB55" s="203" t="str">
        <f t="shared" si="19"/>
        <v>FF  12th year of service</v>
      </c>
      <c r="AC55" s="203"/>
      <c r="AD55" s="203"/>
      <c r="AE55" s="255">
        <f t="shared" ca="1" si="25"/>
        <v>1.3120000000000001</v>
      </c>
      <c r="AF55" s="255">
        <f t="shared" ca="1" si="25"/>
        <v>1.7909999999999999</v>
      </c>
      <c r="AG55" s="254"/>
      <c r="AH55" s="254"/>
      <c r="AI55" s="254"/>
      <c r="AJ55" s="254"/>
    </row>
    <row r="56" spans="1:36" s="98" customFormat="1" ht="17.25" customHeight="1">
      <c r="A56" s="56">
        <f t="shared" ca="1" si="29"/>
        <v>151.36393041937487</v>
      </c>
      <c r="B56" s="52" t="s">
        <v>167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157"/>
      <c r="O56" s="281"/>
      <c r="P56" s="281"/>
      <c r="Q56" s="281"/>
      <c r="R56" s="291" t="s">
        <v>287</v>
      </c>
      <c r="S56" s="326" t="str">
        <f t="shared" si="26"/>
        <v>FF  13th year of service</v>
      </c>
      <c r="T56" s="322" cm="1">
        <f t="array" aca="1" ref="T56" ca="1">IF($R56="Y",VLOOKUP(S56,INDIRECT($P$1),2,0)*INDIRECT($Q$1),VLOOKUP(S56,INDIRECT($P$1),2,0))</f>
        <v>151.36393041937487</v>
      </c>
      <c r="U56" s="292">
        <f t="shared" ca="1" si="27"/>
        <v>1.3861165789320042</v>
      </c>
      <c r="V56" s="292">
        <f t="shared" ca="1" si="31"/>
        <v>1.8920491302421858</v>
      </c>
      <c r="W56" s="296"/>
      <c r="X56" s="282"/>
      <c r="Y56" s="297"/>
      <c r="Z56" s="282"/>
      <c r="AB56" s="203" t="str">
        <f t="shared" si="19"/>
        <v>FF  13th year of service</v>
      </c>
      <c r="AC56" s="203"/>
      <c r="AD56" s="203"/>
      <c r="AE56" s="255">
        <f t="shared" ca="1" si="25"/>
        <v>1.3859999999999999</v>
      </c>
      <c r="AF56" s="255">
        <f t="shared" ca="1" si="25"/>
        <v>1.8919999999999999</v>
      </c>
      <c r="AG56" s="254"/>
      <c r="AH56" s="254"/>
      <c r="AI56" s="254"/>
      <c r="AJ56" s="254"/>
    </row>
    <row r="57" spans="1:36" s="98" customFormat="1" ht="17.25" customHeight="1">
      <c r="A57" s="56">
        <f t="shared" ca="1" si="29"/>
        <v>159.40672423294589</v>
      </c>
      <c r="B57" s="52" t="s">
        <v>168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157"/>
      <c r="O57" s="281"/>
      <c r="P57" s="281"/>
      <c r="Q57" s="281"/>
      <c r="R57" s="291" t="s">
        <v>287</v>
      </c>
      <c r="S57" s="326" t="str">
        <f t="shared" si="26"/>
        <v>FF  14th year of service</v>
      </c>
      <c r="T57" s="322" cm="1">
        <f t="array" aca="1" ref="T57" ca="1">IF($R57="Y",VLOOKUP(S57,INDIRECT($P$1),2,0)*INDIRECT($Q$1),VLOOKUP(S57,INDIRECT($P$1),2,0))</f>
        <v>159.40672423294589</v>
      </c>
      <c r="U57" s="292">
        <f t="shared" ca="1" si="27"/>
        <v>1.4597685369317388</v>
      </c>
      <c r="V57" s="292">
        <f t="shared" ca="1" si="31"/>
        <v>1.9925840529118237</v>
      </c>
      <c r="W57" s="296"/>
      <c r="X57" s="282"/>
      <c r="Y57" s="297"/>
      <c r="Z57" s="282"/>
      <c r="AB57" s="203" t="str">
        <f t="shared" si="19"/>
        <v>FF  14th year of service</v>
      </c>
      <c r="AC57" s="203"/>
      <c r="AD57" s="203"/>
      <c r="AE57" s="255">
        <f t="shared" ca="1" si="25"/>
        <v>1.46</v>
      </c>
      <c r="AF57" s="255">
        <f t="shared" ca="1" si="25"/>
        <v>1.9930000000000001</v>
      </c>
      <c r="AG57" s="254"/>
      <c r="AH57" s="254"/>
      <c r="AI57" s="254"/>
      <c r="AJ57" s="254"/>
    </row>
    <row r="58" spans="1:36" s="98" customFormat="1" ht="17.25" customHeight="1">
      <c r="A58" s="56">
        <f t="shared" ca="1" si="29"/>
        <v>208.50399529669335</v>
      </c>
      <c r="B58" s="52" t="s">
        <v>169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157"/>
      <c r="O58" s="281"/>
      <c r="P58" s="281"/>
      <c r="Q58" s="281"/>
      <c r="R58" s="291" t="s">
        <v>287</v>
      </c>
      <c r="S58" s="326" t="str">
        <f t="shared" si="26"/>
        <v>FF  15th year of service</v>
      </c>
      <c r="T58" s="322" cm="1">
        <f t="array" aca="1" ref="T58" ca="1">IF($R58="Y",VLOOKUP(S58,INDIRECT($P$1),2,0)*INDIRECT($Q$1),VLOOKUP(S58,INDIRECT($P$1),2,0))</f>
        <v>208.50399529669335</v>
      </c>
      <c r="U58" s="292">
        <f t="shared" ca="1" si="27"/>
        <v>1.9093772463067156</v>
      </c>
      <c r="V58" s="292">
        <f t="shared" ca="1" si="31"/>
        <v>2.6062999412086669</v>
      </c>
      <c r="W58" s="296"/>
      <c r="X58" s="282"/>
      <c r="Y58" s="297"/>
      <c r="Z58" s="282"/>
      <c r="AB58" s="203" t="str">
        <f t="shared" si="19"/>
        <v>FF  15th year of service</v>
      </c>
      <c r="AC58" s="203"/>
      <c r="AD58" s="203"/>
      <c r="AE58" s="255">
        <f t="shared" ca="1" si="25"/>
        <v>1.909</v>
      </c>
      <c r="AF58" s="255">
        <f t="shared" ca="1" si="25"/>
        <v>2.6059999999999999</v>
      </c>
      <c r="AG58" s="254"/>
      <c r="AH58" s="254"/>
      <c r="AI58" s="254"/>
      <c r="AJ58" s="254"/>
    </row>
    <row r="59" spans="1:36" s="98" customFormat="1" ht="17.25" customHeight="1">
      <c r="A59" s="56">
        <f t="shared" ca="1" si="29"/>
        <v>216.5467891102644</v>
      </c>
      <c r="B59" s="52" t="s">
        <v>170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157"/>
      <c r="O59" s="281"/>
      <c r="P59" s="281"/>
      <c r="Q59" s="281"/>
      <c r="R59" s="291" t="s">
        <v>287</v>
      </c>
      <c r="S59" s="326" t="str">
        <f t="shared" si="26"/>
        <v>FF  16th year of service</v>
      </c>
      <c r="T59" s="322" cm="1">
        <f t="array" aca="1" ref="T59" ca="1">IF($R59="Y",VLOOKUP(S59,INDIRECT($P$1),2,0)*INDIRECT($Q$1),VLOOKUP(S59,INDIRECT($P$1),2,0))</f>
        <v>216.5467891102644</v>
      </c>
      <c r="U59" s="292">
        <f t="shared" ca="1" si="27"/>
        <v>1.9830292043064506</v>
      </c>
      <c r="V59" s="292">
        <f t="shared" ca="1" si="31"/>
        <v>2.7068348638783051</v>
      </c>
      <c r="W59" s="296"/>
      <c r="X59" s="282"/>
      <c r="Y59" s="297"/>
      <c r="Z59" s="282"/>
      <c r="AB59" s="203" t="str">
        <f t="shared" si="19"/>
        <v>FF  16th year of service</v>
      </c>
      <c r="AC59" s="203"/>
      <c r="AD59" s="203"/>
      <c r="AE59" s="255">
        <f t="shared" ca="1" si="25"/>
        <v>1.9830000000000001</v>
      </c>
      <c r="AF59" s="255">
        <f t="shared" ca="1" si="25"/>
        <v>2.7069999999999999</v>
      </c>
      <c r="AG59" s="254"/>
      <c r="AH59" s="254"/>
      <c r="AI59" s="254"/>
      <c r="AJ59" s="254"/>
    </row>
    <row r="60" spans="1:36" s="98" customFormat="1" ht="17.25" customHeight="1">
      <c r="A60" s="56">
        <f t="shared" ca="1" si="29"/>
        <v>224.60407444422046</v>
      </c>
      <c r="B60" s="52" t="s">
        <v>171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157"/>
      <c r="O60" s="281"/>
      <c r="P60" s="281"/>
      <c r="Q60" s="281"/>
      <c r="R60" s="291" t="s">
        <v>287</v>
      </c>
      <c r="S60" s="326" t="str">
        <f t="shared" si="26"/>
        <v>FF  17th year of service</v>
      </c>
      <c r="T60" s="322" cm="1">
        <f t="array" aca="1" ref="T60" ca="1">IF($R60="Y",VLOOKUP(S60,INDIRECT($P$1),2,0)*INDIRECT($Q$1),VLOOKUP(S60,INDIRECT($P$1),2,0))</f>
        <v>224.60407444422046</v>
      </c>
      <c r="U60" s="292">
        <f t="shared" ca="1" si="27"/>
        <v>2.0568138685368171</v>
      </c>
      <c r="V60" s="292">
        <f t="shared" ca="1" si="31"/>
        <v>2.8075509305527557</v>
      </c>
      <c r="W60" s="296"/>
      <c r="X60" s="282"/>
      <c r="Y60" s="297"/>
      <c r="Z60" s="282"/>
      <c r="AB60" s="203" t="str">
        <f t="shared" si="19"/>
        <v>FF  17th year of service</v>
      </c>
      <c r="AC60" s="203"/>
      <c r="AD60" s="203"/>
      <c r="AE60" s="255">
        <f t="shared" ca="1" si="25"/>
        <v>2.0569999999999999</v>
      </c>
      <c r="AF60" s="255">
        <f t="shared" ca="1" si="25"/>
        <v>2.8079999999999998</v>
      </c>
      <c r="AG60" s="254"/>
      <c r="AH60" s="254"/>
      <c r="AI60" s="254"/>
      <c r="AJ60" s="254"/>
    </row>
    <row r="61" spans="1:36" s="98" customFormat="1" ht="17.25" customHeight="1">
      <c r="A61" s="56">
        <f t="shared" ca="1" si="29"/>
        <v>232.66135977817763</v>
      </c>
      <c r="B61" s="52" t="s">
        <v>172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157"/>
      <c r="O61" s="281"/>
      <c r="P61" s="281"/>
      <c r="Q61" s="281"/>
      <c r="R61" s="291" t="s">
        <v>287</v>
      </c>
      <c r="S61" s="326" t="str">
        <f t="shared" si="26"/>
        <v>FF  18th year of service</v>
      </c>
      <c r="T61" s="322" cm="1">
        <f t="array" aca="1" ref="T61" ca="1">IF($R61="Y",VLOOKUP(S61,INDIRECT($P$1),2,0)*INDIRECT($Q$1),VLOOKUP(S61,INDIRECT($P$1),2,0))</f>
        <v>232.66135977817763</v>
      </c>
      <c r="U61" s="292">
        <f t="shared" ca="1" si="27"/>
        <v>2.1305985327671944</v>
      </c>
      <c r="V61" s="292">
        <f t="shared" ca="1" si="31"/>
        <v>2.9082669972272202</v>
      </c>
      <c r="W61" s="296"/>
      <c r="X61" s="282"/>
      <c r="Y61" s="297"/>
      <c r="Z61" s="282"/>
      <c r="AB61" s="203" t="str">
        <f t="shared" si="19"/>
        <v>FF  18th year of service</v>
      </c>
      <c r="AC61" s="203"/>
      <c r="AD61" s="203"/>
      <c r="AE61" s="255">
        <f t="shared" ca="1" si="25"/>
        <v>2.1309999999999998</v>
      </c>
      <c r="AF61" s="255">
        <f t="shared" ca="1" si="25"/>
        <v>2.9079999999999999</v>
      </c>
      <c r="AG61" s="254"/>
      <c r="AH61" s="254"/>
      <c r="AI61" s="254"/>
      <c r="AJ61" s="254"/>
    </row>
    <row r="62" spans="1:36" s="98" customFormat="1" ht="17.25" customHeight="1">
      <c r="A62" s="56">
        <f t="shared" ca="1" si="29"/>
        <v>255.49999590464279</v>
      </c>
      <c r="B62" s="52" t="s">
        <v>173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157"/>
      <c r="O62" s="281"/>
      <c r="P62" s="281"/>
      <c r="Q62" s="281"/>
      <c r="R62" s="291" t="s">
        <v>287</v>
      </c>
      <c r="S62" s="326" t="str">
        <f t="shared" si="26"/>
        <v>FF  19th year of service</v>
      </c>
      <c r="T62" s="322" cm="1">
        <f t="array" aca="1" ref="T62" ca="1">IF($R62="Y",VLOOKUP(S62,INDIRECT($P$1),2,0)*INDIRECT($Q$1),VLOOKUP(S62,INDIRECT($P$1),2,0))</f>
        <v>255.49999590464279</v>
      </c>
      <c r="U62" s="292">
        <f t="shared" ca="1" si="27"/>
        <v>2.3397435522403187</v>
      </c>
      <c r="V62" s="292">
        <f t="shared" ca="1" si="31"/>
        <v>3.1937499488080348</v>
      </c>
      <c r="W62" s="296"/>
      <c r="X62" s="282"/>
      <c r="Y62" s="297"/>
      <c r="Z62" s="282"/>
      <c r="AB62" s="203" t="str">
        <f t="shared" si="19"/>
        <v>FF  19th year of service</v>
      </c>
      <c r="AC62" s="203"/>
      <c r="AD62" s="203"/>
      <c r="AE62" s="255">
        <f t="shared" ca="1" si="25"/>
        <v>2.34</v>
      </c>
      <c r="AF62" s="255">
        <f t="shared" ca="1" si="25"/>
        <v>3.194</v>
      </c>
      <c r="AG62" s="254"/>
      <c r="AH62" s="254"/>
      <c r="AI62" s="254"/>
      <c r="AJ62" s="254"/>
    </row>
    <row r="63" spans="1:36" s="98" customFormat="1" ht="17.25" customHeight="1">
      <c r="A63" s="56">
        <f t="shared" ca="1" si="29"/>
        <v>321.00166804399862</v>
      </c>
      <c r="B63" s="52" t="s">
        <v>174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157"/>
      <c r="O63" s="281"/>
      <c r="P63" s="281"/>
      <c r="Q63" s="281"/>
      <c r="R63" s="291" t="s">
        <v>287</v>
      </c>
      <c r="S63" s="326" t="str">
        <f t="shared" si="26"/>
        <v>FF  20th year of service</v>
      </c>
      <c r="T63" s="322" cm="1">
        <f t="array" aca="1" ref="T63" ca="1">IF($R63="Y",VLOOKUP(S63,INDIRECT($P$1),2,0)*INDIRECT($Q$1),VLOOKUP(S63,INDIRECT($P$1),2,0))</f>
        <v>321.00166804399862</v>
      </c>
      <c r="U63" s="292">
        <f t="shared" ca="1" si="27"/>
        <v>2.9395757146886319</v>
      </c>
      <c r="V63" s="292">
        <f t="shared" ca="1" si="31"/>
        <v>4.0125208505499828</v>
      </c>
      <c r="W63" s="296"/>
      <c r="X63" s="282"/>
      <c r="Y63" s="297"/>
      <c r="Z63" s="282"/>
      <c r="AB63" s="203" t="str">
        <f t="shared" si="19"/>
        <v>FF  20th year of service</v>
      </c>
      <c r="AC63" s="203"/>
      <c r="AD63" s="203"/>
      <c r="AE63" s="255">
        <f t="shared" ca="1" si="25"/>
        <v>2.94</v>
      </c>
      <c r="AF63" s="255">
        <f t="shared" ca="1" si="25"/>
        <v>4.0129999999999999</v>
      </c>
      <c r="AG63" s="254"/>
      <c r="AH63" s="254"/>
      <c r="AI63" s="254"/>
      <c r="AJ63" s="254"/>
    </row>
    <row r="64" spans="1:36" s="98" customFormat="1" ht="17.25" customHeight="1">
      <c r="A64" s="56">
        <f t="shared" ca="1" si="29"/>
        <v>378.12980512027474</v>
      </c>
      <c r="B64" s="52" t="s">
        <v>175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157"/>
      <c r="O64" s="281"/>
      <c r="P64" s="281"/>
      <c r="Q64" s="281"/>
      <c r="R64" s="291" t="s">
        <v>287</v>
      </c>
      <c r="S64" s="326" t="str">
        <f t="shared" si="26"/>
        <v>FF  21st year of service</v>
      </c>
      <c r="T64" s="322" cm="1">
        <f t="array" aca="1" ref="T64" ca="1">IF($R64="Y",VLOOKUP(S64,INDIRECT($P$1),2,0)*INDIRECT($Q$1),VLOOKUP(S64,INDIRECT($P$1),2,0))</f>
        <v>378.12980512027474</v>
      </c>
      <c r="U64" s="292">
        <f t="shared" ca="1" si="27"/>
        <v>3.4627271531160688</v>
      </c>
      <c r="V64" s="292">
        <f t="shared" ca="1" si="31"/>
        <v>4.7266225640034341</v>
      </c>
      <c r="W64" s="296"/>
      <c r="X64" s="282"/>
      <c r="Y64" s="297"/>
      <c r="Z64" s="282"/>
      <c r="AB64" s="203" t="str">
        <f t="shared" si="19"/>
        <v>FF  21st year of service</v>
      </c>
      <c r="AC64" s="203"/>
      <c r="AD64" s="203"/>
      <c r="AE64" s="255">
        <f t="shared" ca="1" si="25"/>
        <v>3.4630000000000001</v>
      </c>
      <c r="AF64" s="255">
        <f t="shared" ca="1" si="25"/>
        <v>4.7270000000000003</v>
      </c>
      <c r="AG64" s="254"/>
      <c r="AH64" s="254"/>
      <c r="AI64" s="254"/>
      <c r="AJ64" s="254"/>
    </row>
    <row r="65" spans="1:36" s="98" customFormat="1" ht="17.25" customHeight="1">
      <c r="A65" s="56">
        <f t="shared" ca="1" si="29"/>
        <v>386.18709045423094</v>
      </c>
      <c r="B65" s="52" t="s">
        <v>176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157"/>
      <c r="O65" s="281"/>
      <c r="P65" s="281"/>
      <c r="Q65" s="281"/>
      <c r="R65" s="291" t="s">
        <v>287</v>
      </c>
      <c r="S65" s="326" t="str">
        <f t="shared" si="26"/>
        <v>FF  22nd year of service</v>
      </c>
      <c r="T65" s="322" cm="1">
        <f t="array" aca="1" ref="T65" ca="1">IF($R65="Y",VLOOKUP(S65,INDIRECT($P$1),2,0)*INDIRECT($Q$1),VLOOKUP(S65,INDIRECT($P$1),2,0))</f>
        <v>386.18709045423094</v>
      </c>
      <c r="U65" s="292">
        <f t="shared" ca="1" si="27"/>
        <v>3.5365118173464372</v>
      </c>
      <c r="V65" s="292">
        <f t="shared" ca="1" si="31"/>
        <v>4.8273386306778869</v>
      </c>
      <c r="W65" s="296"/>
      <c r="X65" s="282"/>
      <c r="Y65" s="297"/>
      <c r="Z65" s="282"/>
      <c r="AB65" s="203" t="str">
        <f t="shared" si="19"/>
        <v>FF  22nd year of service</v>
      </c>
      <c r="AC65" s="203"/>
      <c r="AD65" s="203"/>
      <c r="AE65" s="255">
        <f t="shared" ca="1" si="25"/>
        <v>3.5369999999999999</v>
      </c>
      <c r="AF65" s="255">
        <f t="shared" ca="1" si="25"/>
        <v>4.827</v>
      </c>
      <c r="AG65" s="254"/>
      <c r="AH65" s="254"/>
      <c r="AI65" s="254"/>
      <c r="AJ65" s="254"/>
    </row>
    <row r="66" spans="1:36" s="98" customFormat="1" ht="17.25" customHeight="1">
      <c r="A66" s="56">
        <f t="shared" ca="1" si="29"/>
        <v>394.2443757881872</v>
      </c>
      <c r="B66" s="52" t="s">
        <v>177</v>
      </c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157"/>
      <c r="O66" s="281"/>
      <c r="P66" s="281"/>
      <c r="Q66" s="281"/>
      <c r="R66" s="291" t="s">
        <v>287</v>
      </c>
      <c r="S66" s="326" t="str">
        <f t="shared" si="26"/>
        <v>FF  23rd year of service</v>
      </c>
      <c r="T66" s="322" cm="1">
        <f t="array" aca="1" ref="T66" ca="1">IF($R66="Y",VLOOKUP(S66,INDIRECT($P$1),2,0)*INDIRECT($Q$1),VLOOKUP(S66,INDIRECT($P$1),2,0))</f>
        <v>394.2443757881872</v>
      </c>
      <c r="U66" s="292">
        <f t="shared" ca="1" si="27"/>
        <v>3.6102964815768059</v>
      </c>
      <c r="V66" s="292">
        <f t="shared" ca="1" si="31"/>
        <v>4.9280546973523398</v>
      </c>
      <c r="W66" s="296"/>
      <c r="X66" s="282"/>
      <c r="Y66" s="297"/>
      <c r="Z66" s="282"/>
      <c r="AB66" s="203" t="str">
        <f t="shared" si="19"/>
        <v>FF  23rd year of service</v>
      </c>
      <c r="AC66" s="203"/>
      <c r="AD66" s="203"/>
      <c r="AE66" s="255">
        <f t="shared" ca="1" si="25"/>
        <v>3.61</v>
      </c>
      <c r="AF66" s="255">
        <f t="shared" ca="1" si="25"/>
        <v>4.9279999999999999</v>
      </c>
      <c r="AG66" s="254"/>
      <c r="AH66" s="254"/>
      <c r="AI66" s="254"/>
      <c r="AJ66" s="254"/>
    </row>
    <row r="67" spans="1:36" s="98" customFormat="1" ht="17.25" customHeight="1">
      <c r="A67" s="56">
        <f t="shared" ca="1" si="29"/>
        <v>402.30166112214346</v>
      </c>
      <c r="B67" s="52" t="s">
        <v>178</v>
      </c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157"/>
      <c r="O67" s="281"/>
      <c r="P67" s="281"/>
      <c r="Q67" s="281"/>
      <c r="R67" s="291" t="s">
        <v>287</v>
      </c>
      <c r="S67" s="326" t="str">
        <f t="shared" si="26"/>
        <v>FF  24th year of service</v>
      </c>
      <c r="T67" s="322" cm="1">
        <f t="array" aca="1" ref="T67" ca="1">IF($R67="Y",VLOOKUP(S67,INDIRECT($P$1),2,0)*INDIRECT($Q$1),VLOOKUP(S67,INDIRECT($P$1),2,0))</f>
        <v>402.30166112214346</v>
      </c>
      <c r="U67" s="292">
        <f t="shared" ca="1" si="27"/>
        <v>3.6840811458071743</v>
      </c>
      <c r="V67" s="292">
        <f t="shared" ca="1" si="31"/>
        <v>5.0287707640267936</v>
      </c>
      <c r="W67" s="296"/>
      <c r="X67" s="282"/>
      <c r="Y67" s="297"/>
      <c r="Z67" s="282"/>
      <c r="AB67" s="203" t="str">
        <f t="shared" si="19"/>
        <v>FF  24th year of service</v>
      </c>
      <c r="AC67" s="203"/>
      <c r="AD67" s="203"/>
      <c r="AE67" s="255">
        <f t="shared" ca="1" si="25"/>
        <v>3.6840000000000002</v>
      </c>
      <c r="AF67" s="255">
        <f t="shared" ca="1" si="25"/>
        <v>5.0289999999999999</v>
      </c>
      <c r="AG67" s="254"/>
      <c r="AH67" s="254"/>
      <c r="AI67" s="254"/>
      <c r="AJ67" s="254"/>
    </row>
    <row r="68" spans="1:36" s="98" customFormat="1" ht="17.25" customHeight="1">
      <c r="A68" s="56">
        <f t="shared" ca="1" si="29"/>
        <v>434.96554806951264</v>
      </c>
      <c r="B68" s="52" t="s">
        <v>179</v>
      </c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157"/>
      <c r="O68" s="281"/>
      <c r="P68" s="281"/>
      <c r="Q68" s="281"/>
      <c r="R68" s="291" t="s">
        <v>287</v>
      </c>
      <c r="S68" s="326" t="str">
        <f t="shared" si="26"/>
        <v>FF  25th year of service</v>
      </c>
      <c r="T68" s="322" cm="1">
        <f t="array" aca="1" ref="T68" ca="1">IF($R68="Y",VLOOKUP(S68,INDIRECT($P$1),2,0)*INDIRECT($Q$1),VLOOKUP(S68,INDIRECT($P$1),2,0))</f>
        <v>434.96554806951264</v>
      </c>
      <c r="U68" s="292">
        <f t="shared" ca="1" si="27"/>
        <v>3.9832009896475515</v>
      </c>
      <c r="V68" s="292">
        <f t="shared" ca="1" si="31"/>
        <v>5.4370693508689083</v>
      </c>
      <c r="W68" s="296"/>
      <c r="X68" s="282"/>
      <c r="Y68" s="297"/>
      <c r="Z68" s="282"/>
      <c r="AB68" s="203" t="str">
        <f t="shared" si="19"/>
        <v>FF  25th year of service</v>
      </c>
      <c r="AC68" s="203"/>
      <c r="AD68" s="203"/>
      <c r="AE68" s="255">
        <f t="shared" ca="1" si="25"/>
        <v>3.9830000000000001</v>
      </c>
      <c r="AF68" s="255">
        <f t="shared" ca="1" si="25"/>
        <v>5.4370000000000003</v>
      </c>
      <c r="AG68" s="254"/>
      <c r="AH68" s="254"/>
      <c r="AI68" s="254"/>
      <c r="AJ68" s="254"/>
    </row>
    <row r="69" spans="1:36" ht="17.25" customHeight="1">
      <c r="A69" s="56">
        <f t="shared" ca="1" si="29"/>
        <v>498.23433750480314</v>
      </c>
      <c r="B69" s="52" t="s">
        <v>180</v>
      </c>
      <c r="P69" s="281"/>
      <c r="Q69" s="281"/>
      <c r="R69" s="291" t="s">
        <v>287</v>
      </c>
      <c r="S69" s="326" t="str">
        <f t="shared" si="26"/>
        <v>FF 26th year of service</v>
      </c>
      <c r="T69" s="322" cm="1">
        <f t="array" aca="1" ref="T69" ca="1">IF($R69="Y",VLOOKUP(S69,INDIRECT($P$1),2,0)*INDIRECT($Q$1),VLOOKUP(S69,INDIRECT($P$1),2,0))</f>
        <v>498.23433750480314</v>
      </c>
      <c r="U69" s="292">
        <f t="shared" ca="1" si="27"/>
        <v>4.5625855082857427</v>
      </c>
      <c r="V69" s="292">
        <f t="shared" ca="1" si="31"/>
        <v>6.227929218810039</v>
      </c>
      <c r="W69" s="296"/>
      <c r="Y69" s="297"/>
      <c r="Z69" s="282"/>
      <c r="AA69" s="98"/>
      <c r="AB69" s="203" t="str">
        <f t="shared" si="19"/>
        <v>FF 26th year of service</v>
      </c>
      <c r="AC69" s="203"/>
      <c r="AD69" s="203"/>
      <c r="AE69" s="255">
        <f t="shared" ca="1" si="25"/>
        <v>4.5629999999999997</v>
      </c>
      <c r="AF69" s="255">
        <f t="shared" ca="1" si="25"/>
        <v>6.2279999999999998</v>
      </c>
    </row>
    <row r="70" spans="1:36" s="98" customFormat="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158"/>
      <c r="O70" s="281"/>
      <c r="P70" s="283"/>
      <c r="Q70" s="282"/>
      <c r="R70" s="282"/>
      <c r="S70" s="285"/>
      <c r="T70" s="282"/>
      <c r="U70" s="282"/>
      <c r="V70" s="282"/>
      <c r="W70" s="282"/>
      <c r="X70" s="282"/>
      <c r="Y70" s="282"/>
      <c r="Z70" s="286"/>
      <c r="AB70" s="256"/>
      <c r="AC70" s="256"/>
      <c r="AD70" s="256"/>
      <c r="AE70" s="256"/>
      <c r="AF70" s="256"/>
      <c r="AG70" s="256"/>
      <c r="AH70" s="256"/>
      <c r="AI70" s="256"/>
      <c r="AJ70" s="256"/>
    </row>
    <row r="71" spans="1:36" s="98" customFormat="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158"/>
      <c r="O71" s="281"/>
      <c r="P71" s="283"/>
      <c r="Q71" s="282"/>
      <c r="R71" s="282"/>
      <c r="S71" s="285"/>
      <c r="T71" s="282"/>
      <c r="U71" s="282"/>
      <c r="V71" s="282"/>
      <c r="W71" s="282"/>
      <c r="X71" s="282"/>
      <c r="Y71" s="282"/>
      <c r="Z71" s="286"/>
      <c r="AB71" s="256"/>
      <c r="AC71" s="256"/>
      <c r="AD71" s="256"/>
      <c r="AE71" s="256"/>
      <c r="AF71" s="256"/>
      <c r="AG71" s="256"/>
      <c r="AH71" s="256"/>
      <c r="AI71" s="256"/>
      <c r="AJ71" s="256"/>
    </row>
    <row r="72" spans="1:36" s="98" customFormat="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158"/>
      <c r="O72" s="281"/>
      <c r="P72" s="283"/>
      <c r="Q72" s="282"/>
      <c r="R72" s="282"/>
      <c r="S72" s="285"/>
      <c r="T72" s="282"/>
      <c r="U72" s="282"/>
      <c r="V72" s="282"/>
      <c r="W72" s="282"/>
      <c r="X72" s="282"/>
      <c r="Y72" s="282"/>
      <c r="Z72" s="286"/>
      <c r="AB72" s="256"/>
      <c r="AC72" s="256"/>
      <c r="AD72" s="256"/>
      <c r="AE72" s="256"/>
      <c r="AF72" s="256"/>
      <c r="AG72" s="256"/>
      <c r="AH72" s="256"/>
      <c r="AI72" s="256"/>
      <c r="AJ72" s="256"/>
    </row>
    <row r="73" spans="1:36" s="98" customFormat="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158"/>
      <c r="O73" s="281"/>
      <c r="P73" s="283"/>
      <c r="Q73" s="282"/>
      <c r="R73" s="282"/>
      <c r="S73" s="285"/>
      <c r="T73" s="282"/>
      <c r="U73" s="282"/>
      <c r="V73" s="282"/>
      <c r="W73" s="282"/>
      <c r="X73" s="282"/>
      <c r="Y73" s="282"/>
      <c r="Z73" s="286"/>
      <c r="AB73" s="256"/>
      <c r="AC73" s="256"/>
      <c r="AD73" s="256"/>
      <c r="AE73" s="256"/>
      <c r="AF73" s="256"/>
      <c r="AG73" s="256"/>
      <c r="AH73" s="256"/>
      <c r="AI73" s="256"/>
      <c r="AJ73" s="256"/>
    </row>
    <row r="74" spans="1:36" s="98" customFormat="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158"/>
      <c r="O74" s="281"/>
      <c r="P74" s="283"/>
      <c r="Q74" s="282"/>
      <c r="R74" s="282"/>
      <c r="S74" s="285"/>
      <c r="T74" s="282"/>
      <c r="U74" s="282"/>
      <c r="V74" s="282"/>
      <c r="W74" s="282"/>
      <c r="X74" s="282"/>
      <c r="Y74" s="282"/>
      <c r="Z74" s="286"/>
      <c r="AB74" s="256"/>
      <c r="AC74" s="256"/>
      <c r="AD74" s="256"/>
      <c r="AE74" s="256"/>
      <c r="AF74" s="256"/>
      <c r="AG74" s="256"/>
      <c r="AH74" s="256"/>
      <c r="AI74" s="256"/>
      <c r="AJ74" s="256"/>
    </row>
    <row r="75" spans="1:36" s="98" customFormat="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158"/>
      <c r="O75" s="281"/>
      <c r="P75" s="283"/>
      <c r="Q75" s="282"/>
      <c r="R75" s="282"/>
      <c r="S75" s="285"/>
      <c r="T75" s="282"/>
      <c r="U75" s="282"/>
      <c r="V75" s="282"/>
      <c r="W75" s="282"/>
      <c r="X75" s="282"/>
      <c r="Y75" s="282"/>
      <c r="Z75" s="286"/>
      <c r="AB75" s="256"/>
      <c r="AC75" s="256"/>
      <c r="AD75" s="256"/>
      <c r="AE75" s="256"/>
      <c r="AF75" s="256"/>
      <c r="AG75" s="256"/>
      <c r="AH75" s="256"/>
      <c r="AI75" s="256"/>
      <c r="AJ75" s="256"/>
    </row>
    <row r="76" spans="1:36" s="98" customFormat="1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158"/>
      <c r="O76" s="281"/>
      <c r="P76" s="283"/>
      <c r="Q76" s="282"/>
      <c r="R76" s="282"/>
      <c r="S76" s="285"/>
      <c r="T76" s="282"/>
      <c r="U76" s="282"/>
      <c r="V76" s="282"/>
      <c r="W76" s="282"/>
      <c r="X76" s="282"/>
      <c r="Y76" s="282"/>
      <c r="Z76" s="286"/>
      <c r="AB76" s="256"/>
      <c r="AC76" s="256"/>
      <c r="AD76" s="256"/>
      <c r="AE76" s="256"/>
      <c r="AF76" s="256"/>
      <c r="AG76" s="256"/>
      <c r="AH76" s="256"/>
      <c r="AI76" s="256"/>
      <c r="AJ76" s="256"/>
    </row>
    <row r="77" spans="1:36" s="98" customFormat="1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158"/>
      <c r="O77" s="281"/>
      <c r="P77" s="283"/>
      <c r="Q77" s="282"/>
      <c r="R77" s="282"/>
      <c r="S77" s="285"/>
      <c r="T77" s="282"/>
      <c r="U77" s="282"/>
      <c r="V77" s="282"/>
      <c r="W77" s="282"/>
      <c r="X77" s="282"/>
      <c r="Y77" s="282"/>
      <c r="Z77" s="286"/>
      <c r="AB77" s="256"/>
      <c r="AC77" s="256"/>
      <c r="AD77" s="256"/>
      <c r="AE77" s="256"/>
      <c r="AF77" s="256"/>
      <c r="AG77" s="256"/>
      <c r="AH77" s="256"/>
      <c r="AI77" s="256"/>
      <c r="AJ77" s="256"/>
    </row>
    <row r="78" spans="1:36" s="98" customFormat="1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158"/>
      <c r="O78" s="281"/>
      <c r="P78" s="283"/>
      <c r="Q78" s="282"/>
      <c r="R78" s="282"/>
      <c r="S78" s="285"/>
      <c r="T78" s="282"/>
      <c r="U78" s="282"/>
      <c r="V78" s="282"/>
      <c r="W78" s="282"/>
      <c r="X78" s="282"/>
      <c r="Y78" s="282"/>
      <c r="Z78" s="286"/>
      <c r="AB78" s="256"/>
      <c r="AC78" s="256"/>
      <c r="AD78" s="256"/>
      <c r="AE78" s="256"/>
      <c r="AF78" s="256"/>
      <c r="AG78" s="256"/>
      <c r="AH78" s="256"/>
      <c r="AI78" s="256"/>
      <c r="AJ78" s="256"/>
    </row>
    <row r="79" spans="1:36" s="98" customFormat="1">
      <c r="A79" s="42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158"/>
      <c r="O79" s="281"/>
      <c r="P79" s="283"/>
      <c r="Q79" s="282"/>
      <c r="R79" s="282"/>
      <c r="S79" s="285"/>
      <c r="T79" s="282"/>
      <c r="U79" s="282"/>
      <c r="V79" s="282"/>
      <c r="W79" s="282"/>
      <c r="X79" s="282"/>
      <c r="Y79" s="282"/>
      <c r="Z79" s="286"/>
      <c r="AB79" s="256"/>
      <c r="AC79" s="256"/>
      <c r="AD79" s="256"/>
      <c r="AE79" s="256"/>
      <c r="AF79" s="256"/>
      <c r="AG79" s="256"/>
      <c r="AH79" s="256"/>
      <c r="AI79" s="256"/>
      <c r="AJ79" s="256"/>
    </row>
    <row r="80" spans="1:36" s="98" customFormat="1">
      <c r="A80" s="41"/>
      <c r="B80" s="5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157"/>
      <c r="O80" s="281"/>
      <c r="P80" s="282"/>
      <c r="Q80" s="282"/>
      <c r="R80" s="282"/>
      <c r="S80" s="285"/>
      <c r="T80" s="282"/>
      <c r="U80" s="282"/>
      <c r="V80" s="282"/>
      <c r="W80" s="282"/>
      <c r="X80" s="282"/>
      <c r="Y80" s="282"/>
      <c r="Z80" s="286"/>
      <c r="AB80" s="256"/>
      <c r="AC80" s="256"/>
      <c r="AD80" s="256"/>
      <c r="AE80" s="256"/>
      <c r="AF80" s="256"/>
      <c r="AG80" s="256"/>
      <c r="AH80" s="256"/>
      <c r="AI80" s="256"/>
      <c r="AJ80" s="256"/>
    </row>
    <row r="81" spans="1:36" s="98" customFormat="1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157"/>
      <c r="O81" s="281"/>
      <c r="P81" s="282"/>
      <c r="Q81" s="282"/>
      <c r="R81" s="282"/>
      <c r="S81" s="285"/>
      <c r="T81" s="282"/>
      <c r="U81" s="282"/>
      <c r="V81" s="282"/>
      <c r="W81" s="282"/>
      <c r="X81" s="282"/>
      <c r="Y81" s="282"/>
      <c r="Z81" s="286"/>
      <c r="AB81" s="256"/>
      <c r="AC81" s="256"/>
      <c r="AD81" s="256"/>
      <c r="AE81" s="256"/>
      <c r="AF81" s="256"/>
      <c r="AG81" s="256"/>
      <c r="AH81" s="256"/>
      <c r="AI81" s="256"/>
      <c r="AJ81" s="256"/>
    </row>
    <row r="82" spans="1:36" s="98" customFormat="1">
      <c r="A82" s="5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157"/>
      <c r="O82" s="281"/>
      <c r="P82" s="282"/>
      <c r="Q82" s="282"/>
      <c r="R82" s="282"/>
      <c r="S82" s="285"/>
      <c r="T82" s="282"/>
      <c r="U82" s="282"/>
      <c r="V82" s="282"/>
      <c r="W82" s="282"/>
      <c r="X82" s="282"/>
      <c r="Y82" s="282"/>
      <c r="Z82" s="286"/>
      <c r="AB82" s="256"/>
      <c r="AC82" s="256"/>
      <c r="AD82" s="256"/>
      <c r="AE82" s="256"/>
      <c r="AF82" s="256"/>
      <c r="AG82" s="256"/>
      <c r="AH82" s="256"/>
      <c r="AI82" s="256"/>
      <c r="AJ82" s="256"/>
    </row>
    <row r="83" spans="1:36" s="98" customFormat="1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281"/>
      <c r="P83" s="282"/>
      <c r="Q83" s="282"/>
      <c r="R83" s="282"/>
      <c r="S83" s="285"/>
      <c r="T83" s="282"/>
      <c r="U83" s="282"/>
      <c r="V83" s="282"/>
      <c r="W83" s="282"/>
      <c r="X83" s="282"/>
      <c r="Y83" s="282"/>
      <c r="Z83" s="286"/>
      <c r="AB83" s="256"/>
      <c r="AC83" s="256"/>
      <c r="AD83" s="256"/>
      <c r="AE83" s="256"/>
      <c r="AF83" s="256"/>
      <c r="AG83" s="256"/>
      <c r="AH83" s="256"/>
      <c r="AI83" s="256"/>
      <c r="AJ83" s="256"/>
    </row>
    <row r="84" spans="1:36" s="98" customFormat="1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300"/>
      <c r="P84" s="282"/>
      <c r="Q84" s="282"/>
      <c r="R84" s="282"/>
      <c r="S84" s="285"/>
      <c r="T84" s="282"/>
      <c r="U84" s="282"/>
      <c r="V84" s="282"/>
      <c r="W84" s="282"/>
      <c r="X84" s="282"/>
      <c r="Y84" s="282"/>
      <c r="Z84" s="286"/>
      <c r="AB84" s="256"/>
      <c r="AC84" s="256"/>
      <c r="AD84" s="256"/>
      <c r="AE84" s="256"/>
      <c r="AF84" s="256"/>
      <c r="AG84" s="256"/>
      <c r="AH84" s="256"/>
      <c r="AI84" s="256"/>
      <c r="AJ84" s="256"/>
    </row>
    <row r="85" spans="1:36" s="98" customFormat="1">
      <c r="A85" s="51"/>
      <c r="B85" s="5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157"/>
      <c r="O85" s="300"/>
      <c r="P85" s="282"/>
      <c r="Q85" s="282"/>
      <c r="R85" s="282"/>
      <c r="S85" s="285"/>
      <c r="T85" s="282"/>
      <c r="U85" s="282"/>
      <c r="V85" s="282"/>
      <c r="W85" s="282"/>
      <c r="X85" s="282"/>
      <c r="Y85" s="282"/>
      <c r="Z85" s="286"/>
      <c r="AB85" s="256"/>
      <c r="AC85" s="256"/>
      <c r="AD85" s="256"/>
      <c r="AE85" s="256"/>
      <c r="AF85" s="256"/>
      <c r="AG85" s="256"/>
      <c r="AH85" s="256"/>
      <c r="AI85" s="256"/>
      <c r="AJ85" s="256"/>
    </row>
    <row r="86" spans="1:36" s="98" customFormat="1">
      <c r="A86" s="51"/>
      <c r="B86" s="5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157"/>
      <c r="O86" s="300"/>
      <c r="P86" s="282"/>
      <c r="Q86" s="282"/>
      <c r="R86" s="282"/>
      <c r="S86" s="285"/>
      <c r="T86" s="282"/>
      <c r="U86" s="282"/>
      <c r="V86" s="282"/>
      <c r="W86" s="282"/>
      <c r="X86" s="282"/>
      <c r="Y86" s="282"/>
      <c r="Z86" s="286"/>
      <c r="AB86" s="256"/>
      <c r="AC86" s="256"/>
      <c r="AD86" s="256"/>
      <c r="AE86" s="256"/>
      <c r="AF86" s="256"/>
      <c r="AG86" s="256"/>
      <c r="AH86" s="256"/>
      <c r="AI86" s="256"/>
      <c r="AJ86" s="256"/>
    </row>
    <row r="87" spans="1:36" s="98" customFormat="1">
      <c r="A87" s="51"/>
      <c r="B87" s="5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157"/>
      <c r="O87" s="300"/>
      <c r="P87" s="282"/>
      <c r="Q87" s="282"/>
      <c r="R87" s="282"/>
      <c r="S87" s="285"/>
      <c r="T87" s="282"/>
      <c r="U87" s="282"/>
      <c r="V87" s="282"/>
      <c r="W87" s="282"/>
      <c r="X87" s="282"/>
      <c r="Y87" s="282"/>
      <c r="Z87" s="286"/>
      <c r="AB87" s="256"/>
      <c r="AC87" s="256"/>
      <c r="AD87" s="256"/>
      <c r="AE87" s="256"/>
      <c r="AF87" s="256"/>
      <c r="AG87" s="256"/>
      <c r="AH87" s="256"/>
      <c r="AI87" s="256"/>
      <c r="AJ87" s="256"/>
    </row>
    <row r="88" spans="1:36" s="98" customFormat="1">
      <c r="A88" s="51"/>
      <c r="B88" s="5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157"/>
      <c r="O88" s="300"/>
      <c r="P88" s="282"/>
      <c r="Q88" s="282"/>
      <c r="R88" s="282"/>
      <c r="S88" s="285"/>
      <c r="T88" s="282"/>
      <c r="U88" s="282"/>
      <c r="V88" s="282"/>
      <c r="W88" s="282"/>
      <c r="X88" s="282"/>
      <c r="Y88" s="282"/>
      <c r="Z88" s="286"/>
      <c r="AB88" s="256"/>
      <c r="AC88" s="256"/>
      <c r="AD88" s="256"/>
      <c r="AE88" s="256"/>
      <c r="AF88" s="256"/>
      <c r="AG88" s="256"/>
      <c r="AH88" s="256"/>
      <c r="AI88" s="256"/>
      <c r="AJ88" s="256"/>
    </row>
    <row r="89" spans="1:36" s="98" customFormat="1">
      <c r="A89" s="51"/>
      <c r="B89" s="5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157"/>
      <c r="O89" s="300"/>
      <c r="P89" s="282"/>
      <c r="Q89" s="282"/>
      <c r="R89" s="282"/>
      <c r="S89" s="285"/>
      <c r="T89" s="282"/>
      <c r="U89" s="282"/>
      <c r="V89" s="282"/>
      <c r="W89" s="282"/>
      <c r="X89" s="282"/>
      <c r="Y89" s="282"/>
      <c r="Z89" s="286"/>
      <c r="AB89" s="256"/>
      <c r="AC89" s="256"/>
      <c r="AD89" s="256"/>
      <c r="AE89" s="256"/>
      <c r="AF89" s="256"/>
      <c r="AG89" s="256"/>
      <c r="AH89" s="256"/>
      <c r="AI89" s="256"/>
      <c r="AJ89" s="256"/>
    </row>
    <row r="90" spans="1:36" s="98" customFormat="1">
      <c r="A90" s="51"/>
      <c r="B90" s="5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157"/>
      <c r="O90" s="300"/>
      <c r="P90" s="282"/>
      <c r="Q90" s="282"/>
      <c r="R90" s="282"/>
      <c r="S90" s="285"/>
      <c r="T90" s="282"/>
      <c r="U90" s="282"/>
      <c r="V90" s="282"/>
      <c r="W90" s="282"/>
      <c r="X90" s="282"/>
      <c r="Y90" s="282"/>
      <c r="Z90" s="286"/>
      <c r="AB90" s="256"/>
      <c r="AC90" s="256"/>
      <c r="AD90" s="256"/>
      <c r="AE90" s="256"/>
      <c r="AF90" s="256"/>
      <c r="AG90" s="256"/>
      <c r="AH90" s="256"/>
      <c r="AI90" s="256"/>
      <c r="AJ90" s="256"/>
    </row>
    <row r="91" spans="1:36" s="98" customFormat="1">
      <c r="A91" s="51"/>
      <c r="B91" s="5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157"/>
      <c r="O91" s="300"/>
      <c r="P91" s="282"/>
      <c r="Q91" s="282"/>
      <c r="R91" s="282"/>
      <c r="S91" s="285"/>
      <c r="T91" s="282"/>
      <c r="U91" s="282"/>
      <c r="V91" s="282"/>
      <c r="W91" s="282"/>
      <c r="X91" s="282"/>
      <c r="Y91" s="282"/>
      <c r="Z91" s="286"/>
      <c r="AB91" s="256"/>
      <c r="AC91" s="256"/>
      <c r="AD91" s="256"/>
      <c r="AE91" s="256"/>
      <c r="AF91" s="256"/>
      <c r="AG91" s="256"/>
      <c r="AH91" s="256"/>
      <c r="AI91" s="256"/>
      <c r="AJ91" s="256"/>
    </row>
    <row r="92" spans="1:36" s="98" customFormat="1">
      <c r="A92" s="51"/>
      <c r="B92" s="5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157"/>
      <c r="O92" s="300"/>
      <c r="P92" s="282"/>
      <c r="Q92" s="282"/>
      <c r="R92" s="282"/>
      <c r="S92" s="285"/>
      <c r="T92" s="282"/>
      <c r="U92" s="282"/>
      <c r="V92" s="282"/>
      <c r="W92" s="282"/>
      <c r="X92" s="282"/>
      <c r="Y92" s="282"/>
      <c r="Z92" s="286"/>
      <c r="AB92" s="256"/>
      <c r="AC92" s="256"/>
      <c r="AD92" s="256"/>
      <c r="AE92" s="256"/>
      <c r="AF92" s="256"/>
      <c r="AG92" s="256"/>
      <c r="AH92" s="256"/>
      <c r="AI92" s="256"/>
      <c r="AJ92" s="256"/>
    </row>
    <row r="93" spans="1:36" s="98" customFormat="1">
      <c r="A93" s="51"/>
      <c r="B93" s="5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157"/>
      <c r="O93" s="300"/>
      <c r="P93" s="282"/>
      <c r="Q93" s="282"/>
      <c r="R93" s="282"/>
      <c r="S93" s="285"/>
      <c r="T93" s="282"/>
      <c r="U93" s="282"/>
      <c r="V93" s="282"/>
      <c r="W93" s="282"/>
      <c r="X93" s="282"/>
      <c r="Y93" s="282"/>
      <c r="Z93" s="286"/>
      <c r="AB93" s="256"/>
      <c r="AC93" s="256"/>
      <c r="AD93" s="256"/>
      <c r="AE93" s="256"/>
      <c r="AF93" s="256"/>
      <c r="AG93" s="256"/>
      <c r="AH93" s="256"/>
      <c r="AI93" s="256"/>
      <c r="AJ93" s="256"/>
    </row>
    <row r="94" spans="1:36" s="98" customFormat="1">
      <c r="A94" s="51"/>
      <c r="B94" s="5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157"/>
      <c r="O94" s="300"/>
      <c r="P94" s="282"/>
      <c r="Q94" s="282"/>
      <c r="R94" s="282"/>
      <c r="S94" s="285"/>
      <c r="T94" s="282"/>
      <c r="U94" s="282"/>
      <c r="V94" s="282"/>
      <c r="W94" s="282"/>
      <c r="X94" s="282"/>
      <c r="Y94" s="282"/>
      <c r="Z94" s="286"/>
      <c r="AB94" s="256"/>
      <c r="AC94" s="256"/>
      <c r="AD94" s="256"/>
      <c r="AE94" s="256"/>
      <c r="AF94" s="256"/>
      <c r="AG94" s="256"/>
      <c r="AH94" s="256"/>
      <c r="AI94" s="256"/>
      <c r="AJ94" s="256"/>
    </row>
    <row r="95" spans="1:36" s="98" customFormat="1">
      <c r="A95" s="51"/>
      <c r="B95" s="5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157"/>
      <c r="O95" s="300"/>
      <c r="P95" s="282"/>
      <c r="Q95" s="282"/>
      <c r="R95" s="282"/>
      <c r="S95" s="285"/>
      <c r="T95" s="282"/>
      <c r="U95" s="282"/>
      <c r="V95" s="282"/>
      <c r="W95" s="282"/>
      <c r="X95" s="282"/>
      <c r="Y95" s="282"/>
      <c r="Z95" s="286"/>
      <c r="AB95" s="256"/>
      <c r="AC95" s="256"/>
      <c r="AD95" s="256"/>
      <c r="AE95" s="256"/>
      <c r="AF95" s="256"/>
      <c r="AG95" s="256"/>
      <c r="AH95" s="256"/>
      <c r="AI95" s="256"/>
      <c r="AJ95" s="256"/>
    </row>
    <row r="96" spans="1:36" s="98" customFormat="1">
      <c r="A96" s="51"/>
      <c r="B96" s="5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157"/>
      <c r="O96" s="300"/>
      <c r="P96" s="282"/>
      <c r="Q96" s="282"/>
      <c r="R96" s="282"/>
      <c r="S96" s="285"/>
      <c r="T96" s="282"/>
      <c r="U96" s="282"/>
      <c r="V96" s="282"/>
      <c r="W96" s="282"/>
      <c r="X96" s="282"/>
      <c r="Y96" s="282"/>
      <c r="Z96" s="286"/>
      <c r="AB96" s="256"/>
      <c r="AC96" s="256"/>
      <c r="AD96" s="256"/>
      <c r="AE96" s="256"/>
      <c r="AF96" s="256"/>
      <c r="AG96" s="256"/>
      <c r="AH96" s="256"/>
      <c r="AI96" s="256"/>
      <c r="AJ96" s="256"/>
    </row>
    <row r="97" spans="1:36" s="98" customFormat="1">
      <c r="A97" s="51"/>
      <c r="B97" s="5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157"/>
      <c r="O97" s="300"/>
      <c r="P97" s="282"/>
      <c r="Q97" s="282"/>
      <c r="R97" s="282"/>
      <c r="S97" s="285"/>
      <c r="T97" s="282"/>
      <c r="U97" s="282"/>
      <c r="V97" s="282"/>
      <c r="W97" s="282"/>
      <c r="X97" s="282"/>
      <c r="Y97" s="282"/>
      <c r="Z97" s="286"/>
      <c r="AB97" s="256"/>
      <c r="AC97" s="256"/>
      <c r="AD97" s="256"/>
      <c r="AE97" s="256"/>
      <c r="AF97" s="256"/>
      <c r="AG97" s="256"/>
      <c r="AH97" s="256"/>
      <c r="AI97" s="256"/>
      <c r="AJ97" s="256"/>
    </row>
    <row r="98" spans="1:36" s="98" customFormat="1">
      <c r="A98" s="42"/>
      <c r="B98" s="5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157"/>
      <c r="O98" s="300"/>
      <c r="P98" s="282"/>
      <c r="Q98" s="282"/>
      <c r="R98" s="282"/>
      <c r="S98" s="285"/>
      <c r="T98" s="282"/>
      <c r="U98" s="282"/>
      <c r="V98" s="282"/>
      <c r="W98" s="282"/>
      <c r="X98" s="282"/>
      <c r="Y98" s="282"/>
      <c r="Z98" s="286"/>
      <c r="AB98" s="256"/>
      <c r="AC98" s="256"/>
      <c r="AD98" s="256"/>
      <c r="AE98" s="256"/>
      <c r="AF98" s="256"/>
      <c r="AG98" s="256"/>
      <c r="AH98" s="256"/>
      <c r="AI98" s="256"/>
      <c r="AJ98" s="256"/>
    </row>
    <row r="99" spans="1:36" s="98" customFormat="1">
      <c r="A99" s="42"/>
      <c r="B99" s="5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157"/>
      <c r="O99" s="300"/>
      <c r="P99" s="282"/>
      <c r="Q99" s="282"/>
      <c r="R99" s="282"/>
      <c r="S99" s="285"/>
      <c r="T99" s="282"/>
      <c r="U99" s="282"/>
      <c r="V99" s="282"/>
      <c r="W99" s="282"/>
      <c r="X99" s="282"/>
      <c r="Y99" s="282"/>
      <c r="Z99" s="286"/>
      <c r="AB99" s="256"/>
      <c r="AC99" s="256"/>
      <c r="AD99" s="256"/>
      <c r="AE99" s="256"/>
      <c r="AF99" s="256"/>
      <c r="AG99" s="256"/>
      <c r="AH99" s="256"/>
      <c r="AI99" s="256"/>
      <c r="AJ99" s="256"/>
    </row>
    <row r="100" spans="1:36" s="98" customFormat="1">
      <c r="A100" s="42"/>
      <c r="B100" s="5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157"/>
      <c r="O100" s="281"/>
      <c r="P100" s="282"/>
      <c r="Q100" s="282"/>
      <c r="R100" s="282"/>
      <c r="S100" s="285"/>
      <c r="T100" s="282"/>
      <c r="U100" s="282"/>
      <c r="V100" s="282"/>
      <c r="W100" s="282"/>
      <c r="X100" s="282"/>
      <c r="Y100" s="282"/>
      <c r="Z100" s="286"/>
      <c r="AB100" s="256"/>
      <c r="AC100" s="256"/>
      <c r="AD100" s="256"/>
      <c r="AE100" s="256"/>
      <c r="AF100" s="256"/>
      <c r="AG100" s="256"/>
      <c r="AH100" s="256"/>
      <c r="AI100" s="256"/>
      <c r="AJ100" s="256"/>
    </row>
    <row r="101" spans="1:36" s="98" customFormat="1">
      <c r="A101" s="42"/>
      <c r="B101" s="5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157"/>
      <c r="O101" s="281"/>
      <c r="P101" s="282"/>
      <c r="Q101" s="282"/>
      <c r="R101" s="282"/>
      <c r="S101" s="285"/>
      <c r="T101" s="282"/>
      <c r="U101" s="282"/>
      <c r="V101" s="282"/>
      <c r="W101" s="282"/>
      <c r="X101" s="282"/>
      <c r="Y101" s="282"/>
      <c r="Z101" s="286"/>
      <c r="AB101" s="256"/>
      <c r="AC101" s="256"/>
      <c r="AD101" s="256"/>
      <c r="AE101" s="256"/>
      <c r="AF101" s="256"/>
      <c r="AG101" s="256"/>
      <c r="AH101" s="256"/>
      <c r="AI101" s="256"/>
      <c r="AJ101" s="256"/>
    </row>
  </sheetData>
  <mergeCells count="5">
    <mergeCell ref="F2:L2"/>
    <mergeCell ref="B83:N83"/>
    <mergeCell ref="B84:N84"/>
    <mergeCell ref="U27:V27"/>
    <mergeCell ref="G6:L6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A18D-B404-41F0-85ED-CC182E0F6E7A}">
  <sheetPr codeName="Sheet26"/>
  <dimension ref="A1:AJ101"/>
  <sheetViews>
    <sheetView showGridLines="0" tabSelected="1" workbookViewId="0">
      <selection activeCell="A2" sqref="A2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9.7109375" style="42" customWidth="1"/>
    <col min="4" max="4" width="25.42578125" style="42" hidden="1" customWidth="1"/>
    <col min="5" max="5" width="10.5703125" style="42" hidden="1" customWidth="1"/>
    <col min="6" max="6" width="6.42578125" style="42" hidden="1" customWidth="1"/>
    <col min="7" max="11" width="6.5703125" style="42" customWidth="1"/>
    <col min="12" max="12" width="6.5703125" style="42" bestFit="1" customWidth="1"/>
    <col min="13" max="13" width="6.42578125" style="42" customWidth="1"/>
    <col min="14" max="14" width="46.42578125" style="157" customWidth="1"/>
    <col min="15" max="15" width="23.85546875" style="281" hidden="1" customWidth="1"/>
    <col min="16" max="16" width="14.85546875" style="282" hidden="1" customWidth="1"/>
    <col min="17" max="17" width="11.5703125" style="282" hidden="1" customWidth="1"/>
    <col min="18" max="18" width="7.85546875" style="282" hidden="1" customWidth="1"/>
    <col min="19" max="19" width="24.42578125" style="285" hidden="1" customWidth="1"/>
    <col min="20" max="20" width="25.42578125" style="282" hidden="1" customWidth="1"/>
    <col min="21" max="21" width="9.42578125" style="282" hidden="1" customWidth="1"/>
    <col min="22" max="25" width="7.42578125" style="282" hidden="1" customWidth="1"/>
    <col min="26" max="26" width="7.42578125" style="286" hidden="1" customWidth="1"/>
    <col min="27" max="27" width="31.140625" style="42" hidden="1" customWidth="1"/>
    <col min="28" max="28" width="24.42578125" style="254" hidden="1" customWidth="1"/>
    <col min="29" max="29" width="5.85546875" style="254" hidden="1" customWidth="1"/>
    <col min="30" max="30" width="32.140625" style="254" hidden="1" customWidth="1"/>
    <col min="31" max="31" width="9.42578125" style="254" hidden="1" customWidth="1"/>
    <col min="32" max="36" width="7.42578125" style="254" hidden="1" customWidth="1"/>
    <col min="37" max="16384" width="9.140625" style="42"/>
  </cols>
  <sheetData>
    <row r="1" spans="1:36" ht="15.75">
      <c r="A1" s="301" t="s">
        <v>140</v>
      </c>
      <c r="B1" s="207"/>
      <c r="C1" s="207"/>
      <c r="D1" s="207"/>
      <c r="E1" s="208"/>
      <c r="F1" s="162"/>
      <c r="G1" s="230"/>
      <c r="H1" s="162"/>
      <c r="I1" s="98"/>
      <c r="J1" s="98"/>
      <c r="K1" s="98"/>
      <c r="L1" s="98"/>
      <c r="M1" s="98"/>
      <c r="O1" s="281" t="s">
        <v>288</v>
      </c>
      <c r="P1" s="282" t="s">
        <v>291</v>
      </c>
      <c r="Q1" s="283" t="s">
        <v>289</v>
      </c>
      <c r="R1" s="284">
        <v>1.0249999999999999</v>
      </c>
    </row>
    <row r="2" spans="1:36" ht="15.75">
      <c r="A2" s="302" t="s">
        <v>306</v>
      </c>
      <c r="B2" s="158"/>
      <c r="C2" s="158"/>
      <c r="D2" s="162"/>
      <c r="E2" s="162"/>
      <c r="F2" s="341" t="s">
        <v>80</v>
      </c>
      <c r="G2" s="341"/>
      <c r="H2" s="341"/>
      <c r="I2" s="341"/>
      <c r="J2" s="341"/>
      <c r="K2" s="341"/>
      <c r="L2" s="341"/>
      <c r="M2" s="162"/>
      <c r="N2" s="158"/>
      <c r="U2" s="282">
        <v>3</v>
      </c>
      <c r="V2" s="282">
        <v>4</v>
      </c>
      <c r="W2" s="282">
        <v>5</v>
      </c>
      <c r="X2" s="282">
        <v>6</v>
      </c>
      <c r="Y2" s="282">
        <v>7</v>
      </c>
      <c r="Z2" s="286">
        <v>8</v>
      </c>
    </row>
    <row r="3" spans="1:36">
      <c r="A3" s="303" t="str">
        <f>"Increase %: "&amp;TEXT(R1-1,"0.00%")</f>
        <v>Increase %: 2.50%</v>
      </c>
      <c r="B3" s="158"/>
      <c r="C3" s="158"/>
      <c r="D3" s="162"/>
      <c r="E3" s="162"/>
      <c r="F3" s="233"/>
      <c r="G3" s="233"/>
      <c r="H3" s="233"/>
      <c r="I3" s="233"/>
      <c r="J3" s="233"/>
      <c r="K3" s="233"/>
      <c r="L3" s="233"/>
      <c r="M3" s="162"/>
      <c r="N3" s="158"/>
    </row>
    <row r="4" spans="1:36">
      <c r="A4" s="252" t="s">
        <v>307</v>
      </c>
      <c r="B4" s="158"/>
      <c r="C4" s="158"/>
      <c r="D4" s="162"/>
      <c r="E4" s="162"/>
      <c r="F4" s="233"/>
      <c r="G4" s="233"/>
      <c r="H4" s="233"/>
      <c r="I4" s="233"/>
      <c r="J4" s="233"/>
      <c r="K4" s="233"/>
      <c r="L4" s="233"/>
      <c r="M4" s="162"/>
      <c r="N4" s="158"/>
    </row>
    <row r="5" spans="1:36" ht="15.75" thickBot="1">
      <c r="A5" s="252"/>
      <c r="B5" s="158"/>
      <c r="C5" s="158"/>
      <c r="D5" s="162"/>
      <c r="E5" s="162"/>
      <c r="F5" s="233"/>
      <c r="G5" s="233"/>
      <c r="H5" s="233"/>
      <c r="I5" s="233"/>
      <c r="J5" s="233"/>
      <c r="K5" s="233"/>
      <c r="L5" s="233"/>
      <c r="M5" s="162"/>
      <c r="N5" s="158"/>
      <c r="O5" s="294" t="s">
        <v>301</v>
      </c>
      <c r="AB5" s="304" t="s">
        <v>302</v>
      </c>
    </row>
    <row r="6" spans="1:36" ht="15.75" thickBot="1">
      <c r="A6" s="233"/>
      <c r="B6" s="158"/>
      <c r="C6" s="158"/>
      <c r="D6" s="162"/>
      <c r="E6" s="162"/>
      <c r="F6" s="233"/>
      <c r="G6" s="344" t="s">
        <v>300</v>
      </c>
      <c r="H6" s="345"/>
      <c r="I6" s="345"/>
      <c r="J6" s="345"/>
      <c r="K6" s="345"/>
      <c r="L6" s="346"/>
      <c r="M6" s="162"/>
      <c r="N6" s="158"/>
    </row>
    <row r="7" spans="1:36" ht="30" customHeight="1" thickBot="1">
      <c r="A7" s="213" t="s">
        <v>137</v>
      </c>
      <c r="B7" s="214" t="s">
        <v>114</v>
      </c>
      <c r="C7" s="214" t="s">
        <v>138</v>
      </c>
      <c r="D7" s="215" t="s">
        <v>4</v>
      </c>
      <c r="E7" s="215" t="s">
        <v>5</v>
      </c>
      <c r="F7" s="305" t="s">
        <v>6</v>
      </c>
      <c r="G7" s="311" t="s">
        <v>7</v>
      </c>
      <c r="H7" s="312" t="s">
        <v>8</v>
      </c>
      <c r="I7" s="312" t="s">
        <v>9</v>
      </c>
      <c r="J7" s="312" t="s">
        <v>10</v>
      </c>
      <c r="K7" s="312" t="s">
        <v>11</v>
      </c>
      <c r="L7" s="313" t="s">
        <v>12</v>
      </c>
      <c r="M7" s="159"/>
      <c r="N7" s="42"/>
      <c r="O7" s="287" t="s">
        <v>285</v>
      </c>
      <c r="P7" s="287" t="s">
        <v>277</v>
      </c>
      <c r="Q7" s="287" t="s">
        <v>138</v>
      </c>
      <c r="R7" s="287" t="s">
        <v>286</v>
      </c>
      <c r="S7" s="287" t="s">
        <v>137</v>
      </c>
      <c r="T7" s="288" t="s">
        <v>279</v>
      </c>
      <c r="U7" s="288" t="s">
        <v>7</v>
      </c>
      <c r="V7" s="288" t="s">
        <v>8</v>
      </c>
      <c r="W7" s="288" t="s">
        <v>9</v>
      </c>
      <c r="X7" s="288" t="s">
        <v>10</v>
      </c>
      <c r="Y7" s="288" t="s">
        <v>11</v>
      </c>
      <c r="Z7" s="288" t="s">
        <v>12</v>
      </c>
      <c r="AB7" s="253" t="s">
        <v>137</v>
      </c>
      <c r="AC7" s="202" t="s">
        <v>138</v>
      </c>
      <c r="AD7" s="234" t="s">
        <v>279</v>
      </c>
      <c r="AE7" s="234" t="s">
        <v>7</v>
      </c>
      <c r="AF7" s="234" t="s">
        <v>8</v>
      </c>
      <c r="AG7" s="234" t="s">
        <v>9</v>
      </c>
      <c r="AH7" s="234" t="s">
        <v>10</v>
      </c>
      <c r="AI7" s="234" t="s">
        <v>11</v>
      </c>
      <c r="AJ7" s="234" t="s">
        <v>12</v>
      </c>
    </row>
    <row r="8" spans="1:36" ht="18.75" customHeight="1">
      <c r="A8" s="217" t="s">
        <v>157</v>
      </c>
      <c r="B8" s="211" t="s">
        <v>115</v>
      </c>
      <c r="C8" s="211" t="str">
        <f>Q8</f>
        <v>CFG 5</v>
      </c>
      <c r="D8" s="212" t="s">
        <v>84</v>
      </c>
      <c r="E8" s="209"/>
      <c r="F8" s="306" t="s">
        <v>17</v>
      </c>
      <c r="G8" s="314">
        <f ca="1">U8*$O8</f>
        <v>1879.4420499999999</v>
      </c>
      <c r="H8" s="315"/>
      <c r="I8" s="315"/>
      <c r="J8" s="315"/>
      <c r="K8" s="315"/>
      <c r="L8" s="316"/>
      <c r="M8" s="159"/>
      <c r="N8" s="42"/>
      <c r="O8" s="289">
        <v>80</v>
      </c>
      <c r="P8" s="290" t="s">
        <v>143</v>
      </c>
      <c r="Q8" s="291" t="s">
        <v>156</v>
      </c>
      <c r="R8" s="291" t="s">
        <v>287</v>
      </c>
      <c r="S8" s="291" t="str">
        <f t="shared" ref="S8:S21" si="0">A8</f>
        <v>04440C</v>
      </c>
      <c r="T8" s="289" t="s">
        <v>84</v>
      </c>
      <c r="U8" s="292" cm="1">
        <f t="array" aca="1" ref="U8" ca="1">IF($R8="Y",VLOOKUP($S8,INDIRECT($P$1),U$2,0)*INDIRECT($Q$1),VLOOKUP($S8,INDIRECT($P$1),U$2,0))</f>
        <v>23.493025624999998</v>
      </c>
      <c r="V8" s="292"/>
      <c r="W8" s="292"/>
      <c r="X8" s="292"/>
      <c r="Y8" s="292"/>
      <c r="Z8" s="292"/>
      <c r="AB8" s="203" t="str">
        <f>S8</f>
        <v>04440C</v>
      </c>
      <c r="AC8" s="203" t="str">
        <f t="shared" ref="AC8:AC21" si="1">C8</f>
        <v>CFG 5</v>
      </c>
      <c r="AD8" s="203" t="str">
        <f>T8</f>
        <v>Fire Cadet</v>
      </c>
      <c r="AE8" s="255">
        <f ca="1">ROUND(U8,3)</f>
        <v>23.492999999999999</v>
      </c>
      <c r="AF8" s="203"/>
      <c r="AG8" s="203"/>
      <c r="AH8" s="203"/>
      <c r="AI8" s="203"/>
      <c r="AJ8" s="203"/>
    </row>
    <row r="9" spans="1:36" ht="18.75" customHeight="1">
      <c r="A9" s="218" t="s">
        <v>15</v>
      </c>
      <c r="B9" s="64" t="s">
        <v>115</v>
      </c>
      <c r="C9" s="211" t="str">
        <f t="shared" ref="C9:C21" si="2">Q9</f>
        <v>CFH 1</v>
      </c>
      <c r="D9" s="60" t="s">
        <v>16</v>
      </c>
      <c r="E9" s="60">
        <v>353</v>
      </c>
      <c r="F9" s="307" t="s">
        <v>17</v>
      </c>
      <c r="G9" s="309">
        <f ca="1">U9*$O9</f>
        <v>2684.8705064999999</v>
      </c>
      <c r="H9" s="226">
        <f t="shared" ref="H9:L9" ca="1" si="3">V9*$O9</f>
        <v>2792.2561484999997</v>
      </c>
      <c r="I9" s="226">
        <f t="shared" ca="1" si="3"/>
        <v>2904.0014639999995</v>
      </c>
      <c r="J9" s="226">
        <f t="shared" ca="1" si="3"/>
        <v>3020.1064529999999</v>
      </c>
      <c r="K9" s="226">
        <f t="shared" ca="1" si="3"/>
        <v>3140.9153002499997</v>
      </c>
      <c r="L9" s="227">
        <f t="shared" ca="1" si="3"/>
        <v>3266.5427339999997</v>
      </c>
      <c r="M9" s="165"/>
      <c r="N9" s="42"/>
      <c r="O9" s="289">
        <v>109.2</v>
      </c>
      <c r="P9" s="291" t="s">
        <v>144</v>
      </c>
      <c r="Q9" s="291" t="s">
        <v>235</v>
      </c>
      <c r="R9" s="291" t="s">
        <v>287</v>
      </c>
      <c r="S9" s="291" t="str">
        <f t="shared" si="0"/>
        <v>04450C</v>
      </c>
      <c r="T9" s="289" t="s">
        <v>16</v>
      </c>
      <c r="U9" s="292" cm="1">
        <f t="array" aca="1" ref="U9" ca="1">IF($R9="Y",VLOOKUP($S9,INDIRECT($P$1),U$2,0)*INDIRECT($Q$1),VLOOKUP($S9,INDIRECT($P$1),U$2,0))</f>
        <v>24.586726249999998</v>
      </c>
      <c r="V9" s="292" cm="1">
        <f t="array" aca="1" ref="V9" ca="1">IF($R9="Y",VLOOKUP($S9,INDIRECT($P$1),V$2,0)*INDIRECT($Q$1),VLOOKUP($S9,INDIRECT($P$1),V$2,0))</f>
        <v>25.570111249999997</v>
      </c>
      <c r="W9" s="292" cm="1">
        <f t="array" aca="1" ref="W9" ca="1">IF($R9="Y",VLOOKUP($S9,INDIRECT($P$1),W$2,0)*INDIRECT($Q$1),VLOOKUP($S9,INDIRECT($P$1),W$2,0))</f>
        <v>26.593419999999995</v>
      </c>
      <c r="X9" s="292" cm="1">
        <f t="array" aca="1" ref="X9" ca="1">IF($R9="Y",VLOOKUP($S9,INDIRECT($P$1),X$2,0)*INDIRECT($Q$1),VLOOKUP($S9,INDIRECT($P$1),X$2,0))</f>
        <v>27.656652499999996</v>
      </c>
      <c r="Y9" s="292" cm="1">
        <f t="array" aca="1" ref="Y9" ca="1">IF($R9="Y",VLOOKUP($S9,INDIRECT($P$1),Y$2,0)*INDIRECT($Q$1),VLOOKUP($S9,INDIRECT($P$1),Y$2,0))</f>
        <v>28.762960624999998</v>
      </c>
      <c r="Z9" s="292" cm="1">
        <f t="array" aca="1" ref="Z9" ca="1">IF($R9="Y",VLOOKUP($S9,INDIRECT($P$1),Z$2,0)*INDIRECT($Q$1),VLOOKUP($S9,INDIRECT($P$1),Z$2,0))</f>
        <v>29.913394999999994</v>
      </c>
      <c r="AB9" s="203" t="str">
        <f>S9</f>
        <v>04450C</v>
      </c>
      <c r="AC9" s="203" t="str">
        <f t="shared" si="1"/>
        <v>CFH 1</v>
      </c>
      <c r="AD9" s="203" t="str">
        <f>T9</f>
        <v>Fire Fighter</v>
      </c>
      <c r="AE9" s="255">
        <f ca="1">ROUND(U9,3)</f>
        <v>24.587</v>
      </c>
      <c r="AF9" s="255">
        <f t="shared" ref="AF9:AJ22" ca="1" si="4">ROUND(V9,3)</f>
        <v>25.57</v>
      </c>
      <c r="AG9" s="255">
        <f t="shared" ca="1" si="4"/>
        <v>26.593</v>
      </c>
      <c r="AH9" s="255">
        <f t="shared" ca="1" si="4"/>
        <v>27.657</v>
      </c>
      <c r="AI9" s="255">
        <f t="shared" ca="1" si="4"/>
        <v>28.763000000000002</v>
      </c>
      <c r="AJ9" s="255">
        <f t="shared" ca="1" si="4"/>
        <v>29.913</v>
      </c>
    </row>
    <row r="10" spans="1:36" ht="18.75" customHeight="1">
      <c r="A10" s="218" t="s">
        <v>19</v>
      </c>
      <c r="B10" s="64" t="s">
        <v>115</v>
      </c>
      <c r="C10" s="211" t="str">
        <f t="shared" si="2"/>
        <v>CFI 1</v>
      </c>
      <c r="D10" s="60" t="s">
        <v>20</v>
      </c>
      <c r="E10" s="60">
        <v>353</v>
      </c>
      <c r="F10" s="307" t="s">
        <v>17</v>
      </c>
      <c r="G10" s="309">
        <f t="shared" ref="G10:G11" ca="1" si="5">U10*$O10</f>
        <v>2684.8932000000004</v>
      </c>
      <c r="H10" s="226">
        <f t="shared" ref="H10:H11" ca="1" si="6">V10*$O10</f>
        <v>2792.3090999999986</v>
      </c>
      <c r="I10" s="226">
        <f t="shared" ref="I10:I11" ca="1" si="7">W10*$O10</f>
        <v>2904.0115499999993</v>
      </c>
      <c r="J10" s="226">
        <f t="shared" ref="J10:J11" ca="1" si="8">X10*$O10</f>
        <v>3020.1686500000001</v>
      </c>
      <c r="K10" s="226">
        <f t="shared" ref="K10:K11" ca="1" si="9">Y10*$O10</f>
        <v>3140.9484999999995</v>
      </c>
      <c r="L10" s="227">
        <f t="shared" ref="L10:L11" ca="1" si="10">Z10*$O10</f>
        <v>3266.6032499999988</v>
      </c>
      <c r="M10" s="165"/>
      <c r="N10" s="42"/>
      <c r="O10" s="289">
        <v>80</v>
      </c>
      <c r="P10" s="291" t="s">
        <v>143</v>
      </c>
      <c r="Q10" s="291" t="s">
        <v>234</v>
      </c>
      <c r="R10" s="291" t="s">
        <v>287</v>
      </c>
      <c r="S10" s="291" t="str">
        <f t="shared" si="0"/>
        <v>04451C</v>
      </c>
      <c r="T10" s="289" t="s">
        <v>20</v>
      </c>
      <c r="U10" s="292" cm="1">
        <f t="array" aca="1" ref="U10" ca="1">IF($R10="Y",VLOOKUP($S10,INDIRECT($P$1),U$2,0)*INDIRECT($Q$1),VLOOKUP($S10,INDIRECT($P$1),U$2,0))</f>
        <v>33.561165000000003</v>
      </c>
      <c r="V10" s="292" cm="1">
        <f t="array" aca="1" ref="V10" ca="1">IF($R10="Y",VLOOKUP($S10,INDIRECT($P$1),V$2,0)*INDIRECT($Q$1),VLOOKUP($S10,INDIRECT($P$1),V$2,0))</f>
        <v>34.903863749999985</v>
      </c>
      <c r="W10" s="292" cm="1">
        <f t="array" aca="1" ref="W10" ca="1">IF($R10="Y",VLOOKUP($S10,INDIRECT($P$1),W$2,0)*INDIRECT($Q$1),VLOOKUP($S10,INDIRECT($P$1),W$2,0))</f>
        <v>36.300144374999988</v>
      </c>
      <c r="X10" s="292" cm="1">
        <f t="array" aca="1" ref="X10" ca="1">IF($R10="Y",VLOOKUP($S10,INDIRECT($P$1),X$2,0)*INDIRECT($Q$1),VLOOKUP($S10,INDIRECT($P$1),X$2,0))</f>
        <v>37.752108124999999</v>
      </c>
      <c r="Y10" s="292" cm="1">
        <f t="array" aca="1" ref="Y10" ca="1">IF($R10="Y",VLOOKUP($S10,INDIRECT($P$1),Y$2,0)*INDIRECT($Q$1),VLOOKUP($S10,INDIRECT($P$1),Y$2,0))</f>
        <v>39.261856249999994</v>
      </c>
      <c r="Z10" s="292" cm="1">
        <f t="array" aca="1" ref="Z10" ca="1">IF($R10="Y",VLOOKUP($S10,INDIRECT($P$1),Z$2,0)*INDIRECT($Q$1),VLOOKUP($S10,INDIRECT($P$1),Z$2,0))</f>
        <v>40.832540624999986</v>
      </c>
      <c r="AB10" s="203" t="str">
        <f t="shared" ref="AB10:AB22" si="11">S10</f>
        <v>04451C</v>
      </c>
      <c r="AC10" s="203" t="str">
        <f t="shared" si="1"/>
        <v>CFI 1</v>
      </c>
      <c r="AD10" s="203" t="str">
        <f t="shared" ref="AD10:AD22" si="12">T10</f>
        <v>Fire Fighter (40 hrs.)</v>
      </c>
      <c r="AE10" s="255">
        <f t="shared" ref="AE10:AE22" ca="1" si="13">ROUND(U10,3)</f>
        <v>33.561</v>
      </c>
      <c r="AF10" s="255">
        <f t="shared" ca="1" si="4"/>
        <v>34.904000000000003</v>
      </c>
      <c r="AG10" s="255">
        <f t="shared" ca="1" si="4"/>
        <v>36.299999999999997</v>
      </c>
      <c r="AH10" s="255">
        <f t="shared" ca="1" si="4"/>
        <v>37.752000000000002</v>
      </c>
      <c r="AI10" s="255">
        <f t="shared" ca="1" si="4"/>
        <v>39.262</v>
      </c>
      <c r="AJ10" s="255">
        <f t="shared" ca="1" si="4"/>
        <v>40.832999999999998</v>
      </c>
    </row>
    <row r="11" spans="1:36" ht="18.75" customHeight="1">
      <c r="A11" s="218" t="s">
        <v>21</v>
      </c>
      <c r="B11" s="64" t="s">
        <v>115</v>
      </c>
      <c r="C11" s="211" t="str">
        <f t="shared" si="2"/>
        <v>CFF 1</v>
      </c>
      <c r="D11" s="60" t="s">
        <v>22</v>
      </c>
      <c r="E11" s="60"/>
      <c r="F11" s="307" t="s">
        <v>17</v>
      </c>
      <c r="G11" s="309">
        <f t="shared" ca="1" si="5"/>
        <v>2684.8705064999999</v>
      </c>
      <c r="H11" s="226">
        <f t="shared" ca="1" si="6"/>
        <v>2792.2561484999997</v>
      </c>
      <c r="I11" s="226">
        <f t="shared" ca="1" si="7"/>
        <v>2904.0014639999995</v>
      </c>
      <c r="J11" s="226">
        <f t="shared" ca="1" si="8"/>
        <v>3020.1064529999999</v>
      </c>
      <c r="K11" s="226">
        <f t="shared" ca="1" si="9"/>
        <v>3140.9153002499997</v>
      </c>
      <c r="L11" s="227">
        <f t="shared" ca="1" si="10"/>
        <v>3266.5427339999997</v>
      </c>
      <c r="M11" s="165"/>
      <c r="N11" s="42"/>
      <c r="O11" s="289">
        <v>109.2</v>
      </c>
      <c r="P11" s="291" t="s">
        <v>144</v>
      </c>
      <c r="Q11" s="291" t="s">
        <v>148</v>
      </c>
      <c r="R11" s="291" t="s">
        <v>287</v>
      </c>
      <c r="S11" s="291" t="str">
        <f t="shared" si="0"/>
        <v>04388C</v>
      </c>
      <c r="T11" s="289" t="s">
        <v>22</v>
      </c>
      <c r="U11" s="292" cm="1">
        <f t="array" aca="1" ref="U11" ca="1">IF($R11="Y",VLOOKUP($S11,INDIRECT($P$1),U$2,0)*INDIRECT($Q$1),VLOOKUP($S11,INDIRECT($P$1),U$2,0))</f>
        <v>24.586726249999998</v>
      </c>
      <c r="V11" s="292" cm="1">
        <f t="array" aca="1" ref="V11" ca="1">IF($R11="Y",VLOOKUP($S11,INDIRECT($P$1),V$2,0)*INDIRECT($Q$1),VLOOKUP($S11,INDIRECT($P$1),V$2,0))</f>
        <v>25.570111249999997</v>
      </c>
      <c r="W11" s="292" cm="1">
        <f t="array" aca="1" ref="W11" ca="1">IF($R11="Y",VLOOKUP($S11,INDIRECT($P$1),W$2,0)*INDIRECT($Q$1),VLOOKUP($S11,INDIRECT($P$1),W$2,0))</f>
        <v>26.593419999999995</v>
      </c>
      <c r="X11" s="292" cm="1">
        <f t="array" aca="1" ref="X11" ca="1">IF($R11="Y",VLOOKUP($S11,INDIRECT($P$1),X$2,0)*INDIRECT($Q$1),VLOOKUP($S11,INDIRECT($P$1),X$2,0))</f>
        <v>27.656652499999996</v>
      </c>
      <c r="Y11" s="292" cm="1">
        <f t="array" aca="1" ref="Y11" ca="1">IF($R11="Y",VLOOKUP($S11,INDIRECT($P$1),Y$2,0)*INDIRECT($Q$1),VLOOKUP($S11,INDIRECT($P$1),Y$2,0))</f>
        <v>28.762960624999998</v>
      </c>
      <c r="Z11" s="292" cm="1">
        <f t="array" aca="1" ref="Z11" ca="1">IF($R11="Y",VLOOKUP($S11,INDIRECT($P$1),Z$2,0)*INDIRECT($Q$1),VLOOKUP($S11,INDIRECT($P$1),Z$2,0))</f>
        <v>29.913394999999994</v>
      </c>
      <c r="AB11" s="203" t="str">
        <f t="shared" si="11"/>
        <v>04388C</v>
      </c>
      <c r="AC11" s="203" t="str">
        <f t="shared" si="1"/>
        <v>CFF 1</v>
      </c>
      <c r="AD11" s="203" t="str">
        <f t="shared" si="12"/>
        <v>Fire Inspector 1</v>
      </c>
      <c r="AE11" s="255">
        <f t="shared" ca="1" si="13"/>
        <v>24.587</v>
      </c>
      <c r="AF11" s="255">
        <f t="shared" ca="1" si="4"/>
        <v>25.57</v>
      </c>
      <c r="AG11" s="255">
        <f t="shared" ca="1" si="4"/>
        <v>26.593</v>
      </c>
      <c r="AH11" s="255">
        <f t="shared" ca="1" si="4"/>
        <v>27.657</v>
      </c>
      <c r="AI11" s="255">
        <f t="shared" ca="1" si="4"/>
        <v>28.763000000000002</v>
      </c>
      <c r="AJ11" s="255">
        <f t="shared" ca="1" si="4"/>
        <v>29.913</v>
      </c>
    </row>
    <row r="12" spans="1:36" ht="18.75" customHeight="1">
      <c r="A12" s="218" t="s">
        <v>23</v>
      </c>
      <c r="B12" s="64" t="s">
        <v>115</v>
      </c>
      <c r="C12" s="211" t="str">
        <f t="shared" si="2"/>
        <v>CFF 2</v>
      </c>
      <c r="D12" s="60" t="s">
        <v>24</v>
      </c>
      <c r="E12" s="60"/>
      <c r="F12" s="307" t="s">
        <v>17</v>
      </c>
      <c r="G12" s="309">
        <f t="shared" ref="G12:G21" ca="1" si="14">U12*$O12</f>
        <v>3328.2665324999998</v>
      </c>
      <c r="H12" s="226">
        <f t="shared" ref="H12:H21" ca="1" si="15">V12*$O12</f>
        <v>3458.942009249999</v>
      </c>
      <c r="I12" s="226">
        <f t="shared" ref="I12:I21" ca="1" si="16">W12*$O12</f>
        <v>3669.12416325</v>
      </c>
      <c r="J12" s="226"/>
      <c r="K12" s="226"/>
      <c r="L12" s="227"/>
      <c r="M12" s="165"/>
      <c r="N12" s="42"/>
      <c r="O12" s="289">
        <v>109.2</v>
      </c>
      <c r="P12" s="291" t="s">
        <v>144</v>
      </c>
      <c r="Q12" s="291" t="s">
        <v>150</v>
      </c>
      <c r="R12" s="291" t="s">
        <v>287</v>
      </c>
      <c r="S12" s="291" t="str">
        <f t="shared" si="0"/>
        <v>04420C</v>
      </c>
      <c r="T12" s="289" t="s">
        <v>24</v>
      </c>
      <c r="U12" s="292" cm="1">
        <f t="array" aca="1" ref="U12" ca="1">IF($R12="Y",VLOOKUP($S12,INDIRECT($P$1),U$2,0)*INDIRECT($Q$1),VLOOKUP($S12,INDIRECT($P$1),U$2,0))</f>
        <v>30.478631249999999</v>
      </c>
      <c r="V12" s="292" cm="1">
        <f t="array" aca="1" ref="V12" ca="1">IF($R12="Y",VLOOKUP($S12,INDIRECT($P$1),V$2,0)*INDIRECT($Q$1),VLOOKUP($S12,INDIRECT($P$1),V$2,0))</f>
        <v>31.675293124999993</v>
      </c>
      <c r="W12" s="292" cm="1">
        <f t="array" aca="1" ref="W12" ca="1">IF($R12="Y",VLOOKUP($S12,INDIRECT($P$1),W$2,0)*INDIRECT($Q$1),VLOOKUP($S12,INDIRECT($P$1),W$2,0))</f>
        <v>33.600038124999998</v>
      </c>
      <c r="X12" s="292"/>
      <c r="Y12" s="292"/>
      <c r="Z12" s="292"/>
      <c r="AB12" s="203" t="str">
        <f t="shared" si="11"/>
        <v>04420C</v>
      </c>
      <c r="AC12" s="203" t="str">
        <f t="shared" si="1"/>
        <v>CFF 2</v>
      </c>
      <c r="AD12" s="203" t="str">
        <f t="shared" si="12"/>
        <v>Fire Motor Operator</v>
      </c>
      <c r="AE12" s="255">
        <f t="shared" ca="1" si="13"/>
        <v>30.478999999999999</v>
      </c>
      <c r="AF12" s="255">
        <f t="shared" ca="1" si="4"/>
        <v>31.675000000000001</v>
      </c>
      <c r="AG12" s="255">
        <f t="shared" ca="1" si="4"/>
        <v>33.6</v>
      </c>
      <c r="AH12" s="203"/>
      <c r="AI12" s="203"/>
      <c r="AJ12" s="203"/>
    </row>
    <row r="13" spans="1:36" ht="18.75" customHeight="1">
      <c r="A13" s="218" t="s">
        <v>195</v>
      </c>
      <c r="B13" s="64" t="s">
        <v>115</v>
      </c>
      <c r="C13" s="211" t="str">
        <f t="shared" si="2"/>
        <v>CFG 2</v>
      </c>
      <c r="D13" s="60" t="s">
        <v>26</v>
      </c>
      <c r="E13" s="60"/>
      <c r="F13" s="307" t="s">
        <v>17</v>
      </c>
      <c r="G13" s="309">
        <f t="shared" ca="1" si="14"/>
        <v>3328.2959499999988</v>
      </c>
      <c r="H13" s="226">
        <f t="shared" ca="1" si="15"/>
        <v>3458.9936999999991</v>
      </c>
      <c r="I13" s="226">
        <f t="shared" ca="1" si="16"/>
        <v>3669.1186999999991</v>
      </c>
      <c r="J13" s="226"/>
      <c r="K13" s="226"/>
      <c r="L13" s="227"/>
      <c r="M13" s="165"/>
      <c r="N13" s="42"/>
      <c r="O13" s="289">
        <v>80</v>
      </c>
      <c r="P13" s="291" t="s">
        <v>143</v>
      </c>
      <c r="Q13" s="291" t="s">
        <v>151</v>
      </c>
      <c r="R13" s="291" t="s">
        <v>287</v>
      </c>
      <c r="S13" s="291" t="str">
        <f t="shared" si="0"/>
        <v>04421C</v>
      </c>
      <c r="T13" s="289" t="s">
        <v>26</v>
      </c>
      <c r="U13" s="292" cm="1">
        <f t="array" aca="1" ref="U13" ca="1">IF($R13="Y",VLOOKUP($S13,INDIRECT($P$1),U$2,0)*INDIRECT($Q$1),VLOOKUP($S13,INDIRECT($P$1),U$2,0))</f>
        <v>41.603699374999984</v>
      </c>
      <c r="V13" s="292" cm="1">
        <f t="array" aca="1" ref="V13" ca="1">IF($R13="Y",VLOOKUP($S13,INDIRECT($P$1),V$2,0)*INDIRECT($Q$1),VLOOKUP($S13,INDIRECT($P$1),V$2,0))</f>
        <v>43.23742124999999</v>
      </c>
      <c r="W13" s="292" cm="1">
        <f t="array" aca="1" ref="W13" ca="1">IF($R13="Y",VLOOKUP($S13,INDIRECT($P$1),W$2,0)*INDIRECT($Q$1),VLOOKUP($S13,INDIRECT($P$1),W$2,0))</f>
        <v>45.863983749999989</v>
      </c>
      <c r="X13" s="292"/>
      <c r="Y13" s="292"/>
      <c r="Z13" s="292"/>
      <c r="AB13" s="203" t="str">
        <f t="shared" si="11"/>
        <v>04421C</v>
      </c>
      <c r="AC13" s="203" t="str">
        <f t="shared" si="1"/>
        <v>CFG 2</v>
      </c>
      <c r="AD13" s="203" t="str">
        <f t="shared" si="12"/>
        <v>Fire Motor Operator (40 hrs.)</v>
      </c>
      <c r="AE13" s="255">
        <f t="shared" ca="1" si="13"/>
        <v>41.603999999999999</v>
      </c>
      <c r="AF13" s="255">
        <f t="shared" ca="1" si="4"/>
        <v>43.237000000000002</v>
      </c>
      <c r="AG13" s="255">
        <f t="shared" ca="1" si="4"/>
        <v>45.863999999999997</v>
      </c>
      <c r="AH13" s="203"/>
      <c r="AI13" s="203"/>
      <c r="AJ13" s="203"/>
    </row>
    <row r="14" spans="1:36" ht="18.75" customHeight="1">
      <c r="A14" s="218" t="s">
        <v>27</v>
      </c>
      <c r="B14" s="64" t="s">
        <v>115</v>
      </c>
      <c r="C14" s="211" t="str">
        <f t="shared" si="2"/>
        <v>CFF 2</v>
      </c>
      <c r="D14" s="60" t="s">
        <v>28</v>
      </c>
      <c r="E14" s="60"/>
      <c r="F14" s="307" t="s">
        <v>17</v>
      </c>
      <c r="G14" s="309">
        <f t="shared" ca="1" si="14"/>
        <v>3328.2665324999998</v>
      </c>
      <c r="H14" s="226">
        <f t="shared" ca="1" si="15"/>
        <v>3458.942009249999</v>
      </c>
      <c r="I14" s="226">
        <f t="shared" ca="1" si="16"/>
        <v>3669.12416325</v>
      </c>
      <c r="J14" s="226"/>
      <c r="K14" s="226"/>
      <c r="L14" s="227"/>
      <c r="M14" s="165"/>
      <c r="N14" s="42"/>
      <c r="O14" s="289">
        <v>109.2</v>
      </c>
      <c r="P14" s="291" t="s">
        <v>144</v>
      </c>
      <c r="Q14" s="291" t="s">
        <v>150</v>
      </c>
      <c r="R14" s="291" t="s">
        <v>287</v>
      </c>
      <c r="S14" s="291" t="str">
        <f t="shared" si="0"/>
        <v>04389C</v>
      </c>
      <c r="T14" s="289" t="s">
        <v>28</v>
      </c>
      <c r="U14" s="292" cm="1">
        <f t="array" aca="1" ref="U14" ca="1">IF($R14="Y",VLOOKUP($S14,INDIRECT($P$1),U$2,0)*INDIRECT($Q$1),VLOOKUP($S14,INDIRECT($P$1),U$2,0))</f>
        <v>30.478631249999999</v>
      </c>
      <c r="V14" s="292" cm="1">
        <f t="array" aca="1" ref="V14" ca="1">IF($R14="Y",VLOOKUP($S14,INDIRECT($P$1),V$2,0)*INDIRECT($Q$1),VLOOKUP($S14,INDIRECT($P$1),V$2,0))</f>
        <v>31.675293124999993</v>
      </c>
      <c r="W14" s="292" cm="1">
        <f t="array" aca="1" ref="W14" ca="1">IF($R14="Y",VLOOKUP($S14,INDIRECT($P$1),W$2,0)*INDIRECT($Q$1),VLOOKUP($S14,INDIRECT($P$1),W$2,0))</f>
        <v>33.600038124999998</v>
      </c>
      <c r="X14" s="292"/>
      <c r="Y14" s="292"/>
      <c r="Z14" s="292"/>
      <c r="AB14" s="203" t="str">
        <f t="shared" si="11"/>
        <v>04389C</v>
      </c>
      <c r="AC14" s="203" t="str">
        <f t="shared" si="1"/>
        <v>CFF 2</v>
      </c>
      <c r="AD14" s="203" t="str">
        <f t="shared" si="12"/>
        <v>Fire Inspector 2</v>
      </c>
      <c r="AE14" s="255">
        <f t="shared" ca="1" si="13"/>
        <v>30.478999999999999</v>
      </c>
      <c r="AF14" s="255">
        <f t="shared" ca="1" si="4"/>
        <v>31.675000000000001</v>
      </c>
      <c r="AG14" s="255">
        <f t="shared" ca="1" si="4"/>
        <v>33.6</v>
      </c>
      <c r="AH14" s="203"/>
      <c r="AI14" s="203"/>
      <c r="AJ14" s="203"/>
    </row>
    <row r="15" spans="1:36" ht="18.75" customHeight="1">
      <c r="A15" s="218" t="s">
        <v>29</v>
      </c>
      <c r="B15" s="64" t="s">
        <v>115</v>
      </c>
      <c r="C15" s="211" t="str">
        <f t="shared" si="2"/>
        <v>CFF 3</v>
      </c>
      <c r="D15" s="60" t="s">
        <v>30</v>
      </c>
      <c r="E15" s="60"/>
      <c r="F15" s="307" t="s">
        <v>17</v>
      </c>
      <c r="G15" s="309">
        <f t="shared" ca="1" si="14"/>
        <v>3772.6090447499987</v>
      </c>
      <c r="H15" s="226">
        <f t="shared" ca="1" si="15"/>
        <v>3922.2146827499996</v>
      </c>
      <c r="I15" s="226">
        <f t="shared" ca="1" si="16"/>
        <v>4162.2261817499984</v>
      </c>
      <c r="J15" s="226"/>
      <c r="K15" s="226"/>
      <c r="L15" s="227"/>
      <c r="M15" s="165"/>
      <c r="N15" s="42"/>
      <c r="O15" s="289">
        <v>109.2</v>
      </c>
      <c r="P15" s="291" t="s">
        <v>144</v>
      </c>
      <c r="Q15" s="291" t="s">
        <v>152</v>
      </c>
      <c r="R15" s="291" t="s">
        <v>287</v>
      </c>
      <c r="S15" s="291" t="str">
        <f t="shared" si="0"/>
        <v>04370C</v>
      </c>
      <c r="T15" s="289" t="s">
        <v>30</v>
      </c>
      <c r="U15" s="292" cm="1">
        <f t="array" aca="1" ref="U15" ca="1">IF($R15="Y",VLOOKUP($S15,INDIRECT($P$1),U$2,0)*INDIRECT($Q$1),VLOOKUP($S15,INDIRECT($P$1),U$2,0))</f>
        <v>34.547701874999987</v>
      </c>
      <c r="V15" s="292" cm="1">
        <f t="array" aca="1" ref="V15" ca="1">IF($R15="Y",VLOOKUP($S15,INDIRECT($P$1),V$2,0)*INDIRECT($Q$1),VLOOKUP($S15,INDIRECT($P$1),V$2,0))</f>
        <v>35.917716874999996</v>
      </c>
      <c r="W15" s="292" cm="1">
        <f t="array" aca="1" ref="W15" ca="1">IF($R15="Y",VLOOKUP($S15,INDIRECT($P$1),W$2,0)*INDIRECT($Q$1),VLOOKUP($S15,INDIRECT($P$1),W$2,0))</f>
        <v>38.115624374999989</v>
      </c>
      <c r="X15" s="292"/>
      <c r="Y15" s="292"/>
      <c r="Z15" s="292"/>
      <c r="AB15" s="203" t="str">
        <f t="shared" si="11"/>
        <v>04370C</v>
      </c>
      <c r="AC15" s="203" t="str">
        <f t="shared" si="1"/>
        <v>CFF 3</v>
      </c>
      <c r="AD15" s="203" t="str">
        <f t="shared" si="12"/>
        <v>Fire Captain</v>
      </c>
      <c r="AE15" s="255">
        <f t="shared" ca="1" si="13"/>
        <v>34.548000000000002</v>
      </c>
      <c r="AF15" s="255">
        <f t="shared" ca="1" si="4"/>
        <v>35.917999999999999</v>
      </c>
      <c r="AG15" s="255">
        <f t="shared" ca="1" si="4"/>
        <v>38.116</v>
      </c>
      <c r="AH15" s="203"/>
      <c r="AI15" s="203"/>
      <c r="AJ15" s="203"/>
    </row>
    <row r="16" spans="1:36" ht="18.75" customHeight="1">
      <c r="A16" s="218" t="s">
        <v>31</v>
      </c>
      <c r="B16" s="64" t="s">
        <v>115</v>
      </c>
      <c r="C16" s="211" t="str">
        <f t="shared" si="2"/>
        <v>CFG 3</v>
      </c>
      <c r="D16" s="60" t="s">
        <v>32</v>
      </c>
      <c r="E16" s="60"/>
      <c r="F16" s="307" t="s">
        <v>17</v>
      </c>
      <c r="G16" s="309">
        <f t="shared" ca="1" si="14"/>
        <v>3772.5842499999994</v>
      </c>
      <c r="H16" s="226">
        <f t="shared" ca="1" si="15"/>
        <v>3922.1932499999994</v>
      </c>
      <c r="I16" s="226">
        <f t="shared" ca="1" si="16"/>
        <v>4162.2400499999994</v>
      </c>
      <c r="J16" s="226"/>
      <c r="K16" s="226"/>
      <c r="L16" s="227"/>
      <c r="M16" s="165"/>
      <c r="N16" s="42"/>
      <c r="O16" s="289">
        <v>80</v>
      </c>
      <c r="P16" s="291" t="s">
        <v>143</v>
      </c>
      <c r="Q16" s="291" t="s">
        <v>153</v>
      </c>
      <c r="R16" s="291" t="s">
        <v>287</v>
      </c>
      <c r="S16" s="291" t="str">
        <f t="shared" si="0"/>
        <v>04371C</v>
      </c>
      <c r="T16" s="289" t="s">
        <v>32</v>
      </c>
      <c r="U16" s="292" cm="1">
        <f t="array" aca="1" ref="U16" ca="1">IF($R16="Y",VLOOKUP($S16,INDIRECT($P$1),U$2,0)*INDIRECT($Q$1),VLOOKUP($S16,INDIRECT($P$1),U$2,0))</f>
        <v>47.157303124999991</v>
      </c>
      <c r="V16" s="292" cm="1">
        <f t="array" aca="1" ref="V16" ca="1">IF($R16="Y",VLOOKUP($S16,INDIRECT($P$1),V$2,0)*INDIRECT($Q$1),VLOOKUP($S16,INDIRECT($P$1),V$2,0))</f>
        <v>49.027415624999989</v>
      </c>
      <c r="W16" s="292" cm="1">
        <f t="array" aca="1" ref="W16" ca="1">IF($R16="Y",VLOOKUP($S16,INDIRECT($P$1),W$2,0)*INDIRECT($Q$1),VLOOKUP($S16,INDIRECT($P$1),W$2,0))</f>
        <v>52.02800062499999</v>
      </c>
      <c r="X16" s="292"/>
      <c r="Y16" s="292"/>
      <c r="Z16" s="292"/>
      <c r="AB16" s="203" t="str">
        <f t="shared" si="11"/>
        <v>04371C</v>
      </c>
      <c r="AC16" s="203" t="str">
        <f t="shared" si="1"/>
        <v>CFG 3</v>
      </c>
      <c r="AD16" s="203" t="str">
        <f t="shared" si="12"/>
        <v>Fire Captain (40 hrs.)</v>
      </c>
      <c r="AE16" s="255">
        <f t="shared" ca="1" si="13"/>
        <v>47.156999999999996</v>
      </c>
      <c r="AF16" s="255">
        <f t="shared" ca="1" si="4"/>
        <v>49.027000000000001</v>
      </c>
      <c r="AG16" s="255">
        <f t="shared" ca="1" si="4"/>
        <v>52.027999999999999</v>
      </c>
      <c r="AH16" s="203"/>
      <c r="AI16" s="203"/>
      <c r="AJ16" s="203"/>
    </row>
    <row r="17" spans="1:36" ht="18.75" customHeight="1">
      <c r="A17" s="218" t="s">
        <v>33</v>
      </c>
      <c r="B17" s="64" t="s">
        <v>115</v>
      </c>
      <c r="C17" s="211" t="str">
        <f t="shared" si="2"/>
        <v>CFF 3</v>
      </c>
      <c r="D17" s="60" t="s">
        <v>34</v>
      </c>
      <c r="E17" s="60"/>
      <c r="F17" s="307" t="s">
        <v>17</v>
      </c>
      <c r="G17" s="309">
        <f t="shared" ca="1" si="14"/>
        <v>3772.6090447499987</v>
      </c>
      <c r="H17" s="226">
        <f t="shared" ca="1" si="15"/>
        <v>3922.2146827499996</v>
      </c>
      <c r="I17" s="226">
        <f t="shared" ca="1" si="16"/>
        <v>4162.2261817499984</v>
      </c>
      <c r="J17" s="226"/>
      <c r="K17" s="226"/>
      <c r="L17" s="227"/>
      <c r="M17" s="165"/>
      <c r="N17" s="42"/>
      <c r="O17" s="289">
        <v>109.2</v>
      </c>
      <c r="P17" s="291" t="s">
        <v>144</v>
      </c>
      <c r="Q17" s="291" t="s">
        <v>152</v>
      </c>
      <c r="R17" s="291" t="s">
        <v>287</v>
      </c>
      <c r="S17" s="291" t="str">
        <f t="shared" si="0"/>
        <v>04400C</v>
      </c>
      <c r="T17" s="289" t="s">
        <v>34</v>
      </c>
      <c r="U17" s="292" cm="1">
        <f t="array" aca="1" ref="U17" ca="1">IF($R17="Y",VLOOKUP($S17,INDIRECT($P$1),U$2,0)*INDIRECT($Q$1),VLOOKUP($S17,INDIRECT($P$1),U$2,0))</f>
        <v>34.547701874999987</v>
      </c>
      <c r="V17" s="292" cm="1">
        <f t="array" aca="1" ref="V17" ca="1">IF($R17="Y",VLOOKUP($S17,INDIRECT($P$1),V$2,0)*INDIRECT($Q$1),VLOOKUP($S17,INDIRECT($P$1),V$2,0))</f>
        <v>35.917716874999996</v>
      </c>
      <c r="W17" s="292" cm="1">
        <f t="array" aca="1" ref="W17" ca="1">IF($R17="Y",VLOOKUP($S17,INDIRECT($P$1),W$2,0)*INDIRECT($Q$1),VLOOKUP($S17,INDIRECT($P$1),W$2,0))</f>
        <v>38.115624374999989</v>
      </c>
      <c r="X17" s="292"/>
      <c r="Y17" s="292"/>
      <c r="Z17" s="292"/>
      <c r="AB17" s="203" t="str">
        <f t="shared" si="11"/>
        <v>04400C</v>
      </c>
      <c r="AC17" s="203" t="str">
        <f t="shared" si="1"/>
        <v>CFF 3</v>
      </c>
      <c r="AD17" s="203" t="str">
        <f t="shared" si="12"/>
        <v>Fire Investigator</v>
      </c>
      <c r="AE17" s="255">
        <f t="shared" ca="1" si="13"/>
        <v>34.548000000000002</v>
      </c>
      <c r="AF17" s="255">
        <f t="shared" ca="1" si="4"/>
        <v>35.917999999999999</v>
      </c>
      <c r="AG17" s="255">
        <f t="shared" ca="1" si="4"/>
        <v>38.116</v>
      </c>
      <c r="AH17" s="203"/>
      <c r="AI17" s="203"/>
      <c r="AJ17" s="203"/>
    </row>
    <row r="18" spans="1:36" ht="18.75" customHeight="1">
      <c r="A18" s="218" t="s">
        <v>35</v>
      </c>
      <c r="B18" s="64" t="s">
        <v>115</v>
      </c>
      <c r="C18" s="211" t="str">
        <f t="shared" si="2"/>
        <v>CFG 3</v>
      </c>
      <c r="D18" s="60" t="s">
        <v>36</v>
      </c>
      <c r="E18" s="60"/>
      <c r="F18" s="307" t="s">
        <v>17</v>
      </c>
      <c r="G18" s="309">
        <f t="shared" ca="1" si="14"/>
        <v>3772.5842499999994</v>
      </c>
      <c r="H18" s="226">
        <f t="shared" ca="1" si="15"/>
        <v>3922.1932499999994</v>
      </c>
      <c r="I18" s="226">
        <f t="shared" ca="1" si="16"/>
        <v>4162.2400499999994</v>
      </c>
      <c r="J18" s="226"/>
      <c r="K18" s="226"/>
      <c r="L18" s="227"/>
      <c r="M18" s="165"/>
      <c r="N18" s="42"/>
      <c r="O18" s="289">
        <v>80</v>
      </c>
      <c r="P18" s="291" t="s">
        <v>143</v>
      </c>
      <c r="Q18" s="291" t="s">
        <v>153</v>
      </c>
      <c r="R18" s="291" t="s">
        <v>287</v>
      </c>
      <c r="S18" s="291" t="str">
        <f t="shared" si="0"/>
        <v>04401C</v>
      </c>
      <c r="T18" s="289" t="s">
        <v>36</v>
      </c>
      <c r="U18" s="292" cm="1">
        <f t="array" aca="1" ref="U18" ca="1">IF($R18="Y",VLOOKUP($S18,INDIRECT($P$1),U$2,0)*INDIRECT($Q$1),VLOOKUP($S18,INDIRECT($P$1),U$2,0))</f>
        <v>47.157303124999991</v>
      </c>
      <c r="V18" s="292" cm="1">
        <f t="array" aca="1" ref="V18" ca="1">IF($R18="Y",VLOOKUP($S18,INDIRECT($P$1),V$2,0)*INDIRECT($Q$1),VLOOKUP($S18,INDIRECT($P$1),V$2,0))</f>
        <v>49.027415624999989</v>
      </c>
      <c r="W18" s="292" cm="1">
        <f t="array" aca="1" ref="W18" ca="1">IF($R18="Y",VLOOKUP($S18,INDIRECT($P$1),W$2,0)*INDIRECT($Q$1),VLOOKUP($S18,INDIRECT($P$1),W$2,0))</f>
        <v>52.02800062499999</v>
      </c>
      <c r="X18" s="292"/>
      <c r="Y18" s="292"/>
      <c r="Z18" s="292"/>
      <c r="AB18" s="203" t="str">
        <f t="shared" si="11"/>
        <v>04401C</v>
      </c>
      <c r="AC18" s="203" t="str">
        <f t="shared" si="1"/>
        <v>CFG 3</v>
      </c>
      <c r="AD18" s="203" t="str">
        <f t="shared" si="12"/>
        <v>Fire Investigator (40 hrs.)</v>
      </c>
      <c r="AE18" s="255">
        <f t="shared" ca="1" si="13"/>
        <v>47.156999999999996</v>
      </c>
      <c r="AF18" s="255">
        <f t="shared" ca="1" si="4"/>
        <v>49.027000000000001</v>
      </c>
      <c r="AG18" s="255">
        <f t="shared" ca="1" si="4"/>
        <v>52.027999999999999</v>
      </c>
      <c r="AH18" s="203"/>
      <c r="AI18" s="203"/>
      <c r="AJ18" s="203"/>
    </row>
    <row r="19" spans="1:36" ht="18.75" customHeight="1">
      <c r="A19" s="218" t="s">
        <v>37</v>
      </c>
      <c r="B19" s="64" t="s">
        <v>115</v>
      </c>
      <c r="C19" s="211" t="str">
        <f t="shared" si="2"/>
        <v>CFF 3</v>
      </c>
      <c r="D19" s="60" t="s">
        <v>38</v>
      </c>
      <c r="E19" s="60"/>
      <c r="F19" s="307" t="s">
        <v>17</v>
      </c>
      <c r="G19" s="309">
        <f t="shared" ca="1" si="14"/>
        <v>3772.6090447499987</v>
      </c>
      <c r="H19" s="226">
        <f t="shared" ca="1" si="15"/>
        <v>3922.2146827499996</v>
      </c>
      <c r="I19" s="226">
        <f t="shared" ca="1" si="16"/>
        <v>4162.2261817499984</v>
      </c>
      <c r="J19" s="226"/>
      <c r="K19" s="226"/>
      <c r="L19" s="227"/>
      <c r="M19" s="165"/>
      <c r="N19" s="42"/>
      <c r="O19" s="289">
        <v>109.2</v>
      </c>
      <c r="P19" s="291" t="s">
        <v>144</v>
      </c>
      <c r="Q19" s="291" t="s">
        <v>152</v>
      </c>
      <c r="R19" s="291" t="s">
        <v>287</v>
      </c>
      <c r="S19" s="291" t="str">
        <f t="shared" si="0"/>
        <v>04390C</v>
      </c>
      <c r="T19" s="289" t="s">
        <v>38</v>
      </c>
      <c r="U19" s="292" cm="1">
        <f t="array" aca="1" ref="U19" ca="1">IF($R19="Y",VLOOKUP($S19,INDIRECT($P$1),U$2,0)*INDIRECT($Q$1),VLOOKUP($S19,INDIRECT($P$1),U$2,0))</f>
        <v>34.547701874999987</v>
      </c>
      <c r="V19" s="292" cm="1">
        <f t="array" aca="1" ref="V19" ca="1">IF($R19="Y",VLOOKUP($S19,INDIRECT($P$1),V$2,0)*INDIRECT($Q$1),VLOOKUP($S19,INDIRECT($P$1),V$2,0))</f>
        <v>35.917716874999996</v>
      </c>
      <c r="W19" s="292" cm="1">
        <f t="array" aca="1" ref="W19" ca="1">IF($R19="Y",VLOOKUP($S19,INDIRECT($P$1),W$2,0)*INDIRECT($Q$1),VLOOKUP($S19,INDIRECT($P$1),W$2,0))</f>
        <v>38.115624374999989</v>
      </c>
      <c r="X19" s="292"/>
      <c r="Y19" s="292"/>
      <c r="Z19" s="292"/>
      <c r="AB19" s="203" t="str">
        <f t="shared" si="11"/>
        <v>04390C</v>
      </c>
      <c r="AC19" s="203" t="str">
        <f t="shared" si="1"/>
        <v>CFF 3</v>
      </c>
      <c r="AD19" s="203" t="str">
        <f t="shared" si="12"/>
        <v>Fire Inspector 3</v>
      </c>
      <c r="AE19" s="255">
        <f t="shared" ca="1" si="13"/>
        <v>34.548000000000002</v>
      </c>
      <c r="AF19" s="255">
        <f t="shared" ca="1" si="4"/>
        <v>35.917999999999999</v>
      </c>
      <c r="AG19" s="255">
        <f t="shared" ca="1" si="4"/>
        <v>38.116</v>
      </c>
      <c r="AH19" s="203"/>
      <c r="AI19" s="203"/>
      <c r="AJ19" s="203"/>
    </row>
    <row r="20" spans="1:36" ht="18.75" customHeight="1">
      <c r="A20" s="218" t="s">
        <v>41</v>
      </c>
      <c r="B20" s="64" t="s">
        <v>115</v>
      </c>
      <c r="C20" s="211" t="str">
        <f t="shared" si="2"/>
        <v>CFF 4</v>
      </c>
      <c r="D20" s="66" t="s">
        <v>113</v>
      </c>
      <c r="E20" s="60"/>
      <c r="F20" s="307" t="s">
        <v>17</v>
      </c>
      <c r="G20" s="309">
        <f t="shared" ca="1" si="14"/>
        <v>3861.17925375</v>
      </c>
      <c r="H20" s="226">
        <f t="shared" ca="1" si="15"/>
        <v>3926.5743562499988</v>
      </c>
      <c r="I20" s="226">
        <f t="shared" ca="1" si="16"/>
        <v>3993.3461977499987</v>
      </c>
      <c r="J20" s="226">
        <f t="shared" ref="J20:J21" ca="1" si="17">X20*$O20</f>
        <v>4060.1180392499987</v>
      </c>
      <c r="K20" s="226">
        <f t="shared" ref="K20:K21" ca="1" si="18">Y20*$O20</f>
        <v>4307.8163309999991</v>
      </c>
      <c r="L20" s="227"/>
      <c r="M20" s="165"/>
      <c r="N20" s="42"/>
      <c r="O20" s="289">
        <v>109.2</v>
      </c>
      <c r="P20" s="291" t="s">
        <v>144</v>
      </c>
      <c r="Q20" s="291" t="s">
        <v>154</v>
      </c>
      <c r="R20" s="291" t="s">
        <v>287</v>
      </c>
      <c r="S20" s="291" t="str">
        <f t="shared" si="0"/>
        <v>04436C</v>
      </c>
      <c r="T20" s="293" t="s">
        <v>113</v>
      </c>
      <c r="U20" s="292" cm="1">
        <f t="array" aca="1" ref="U20" ca="1">IF($R20="Y",VLOOKUP($S20,INDIRECT($P$1),U$2,0)*INDIRECT($Q$1),VLOOKUP($S20,INDIRECT($P$1),U$2,0))</f>
        <v>35.358784374999999</v>
      </c>
      <c r="V20" s="292" cm="1">
        <f t="array" aca="1" ref="V20" ca="1">IF($R20="Y",VLOOKUP($S20,INDIRECT($P$1),V$2,0)*INDIRECT($Q$1),VLOOKUP($S20,INDIRECT($P$1),V$2,0))</f>
        <v>35.957640624999989</v>
      </c>
      <c r="W20" s="292" cm="1">
        <f t="array" aca="1" ref="W20" ca="1">IF($R20="Y",VLOOKUP($S20,INDIRECT($P$1),W$2,0)*INDIRECT($Q$1),VLOOKUP($S20,INDIRECT($P$1),W$2,0))</f>
        <v>36.569104374999988</v>
      </c>
      <c r="X20" s="292" cm="1">
        <f t="array" aca="1" ref="X20" ca="1">IF($R20="Y",VLOOKUP($S20,INDIRECT($P$1),X$2,0)*INDIRECT($Q$1),VLOOKUP($S20,INDIRECT($P$1),X$2,0))</f>
        <v>37.180568124999986</v>
      </c>
      <c r="Y20" s="292" cm="1">
        <f t="array" aca="1" ref="Y20" ca="1">IF($R20="Y",VLOOKUP($S20,INDIRECT($P$1),Y$2,0)*INDIRECT($Q$1),VLOOKUP($S20,INDIRECT($P$1),Y$2,0))</f>
        <v>39.448867499999992</v>
      </c>
      <c r="Z20" s="292"/>
      <c r="AB20" s="203" t="str">
        <f t="shared" si="11"/>
        <v>04436C</v>
      </c>
      <c r="AC20" s="203" t="str">
        <f t="shared" si="1"/>
        <v>CFF 4</v>
      </c>
      <c r="AD20" s="203" t="str">
        <f t="shared" si="12"/>
        <v xml:space="preserve">Fire Staff Captain </v>
      </c>
      <c r="AE20" s="255">
        <f t="shared" ca="1" si="13"/>
        <v>35.359000000000002</v>
      </c>
      <c r="AF20" s="255">
        <f t="shared" ca="1" si="4"/>
        <v>35.957999999999998</v>
      </c>
      <c r="AG20" s="255">
        <f t="shared" ca="1" si="4"/>
        <v>36.569000000000003</v>
      </c>
      <c r="AH20" s="255">
        <f t="shared" ca="1" si="4"/>
        <v>37.180999999999997</v>
      </c>
      <c r="AI20" s="203"/>
      <c r="AJ20" s="203"/>
    </row>
    <row r="21" spans="1:36" ht="18.75" customHeight="1" thickBot="1">
      <c r="A21" s="219" t="s">
        <v>39</v>
      </c>
      <c r="B21" s="220" t="s">
        <v>115</v>
      </c>
      <c r="C21" s="220" t="str">
        <f t="shared" si="2"/>
        <v>CFG 4</v>
      </c>
      <c r="D21" s="221" t="s">
        <v>42</v>
      </c>
      <c r="E21" s="222"/>
      <c r="F21" s="308" t="s">
        <v>17</v>
      </c>
      <c r="G21" s="310">
        <f t="shared" ca="1" si="14"/>
        <v>3861.1729499999997</v>
      </c>
      <c r="H21" s="228">
        <f t="shared" ca="1" si="15"/>
        <v>3926.5638499999995</v>
      </c>
      <c r="I21" s="228">
        <f t="shared" ca="1" si="16"/>
        <v>3993.3835999999992</v>
      </c>
      <c r="J21" s="228">
        <f t="shared" ca="1" si="17"/>
        <v>4060.1192999999989</v>
      </c>
      <c r="K21" s="228">
        <f t="shared" ca="1" si="18"/>
        <v>4307.8146499999993</v>
      </c>
      <c r="L21" s="229"/>
      <c r="M21" s="165"/>
      <c r="N21" s="42"/>
      <c r="O21" s="289">
        <v>80</v>
      </c>
      <c r="P21" s="291" t="s">
        <v>143</v>
      </c>
      <c r="Q21" s="291" t="s">
        <v>155</v>
      </c>
      <c r="R21" s="291" t="s">
        <v>287</v>
      </c>
      <c r="S21" s="291" t="str">
        <f t="shared" si="0"/>
        <v>04435C</v>
      </c>
      <c r="T21" s="289" t="s">
        <v>42</v>
      </c>
      <c r="U21" s="292" cm="1">
        <f t="array" aca="1" ref="U21" ca="1">IF($R21="Y",VLOOKUP($S21,INDIRECT($P$1),U$2,0)*INDIRECT($Q$1),VLOOKUP($S21,INDIRECT($P$1),U$2,0))</f>
        <v>48.264661874999994</v>
      </c>
      <c r="V21" s="292" cm="1">
        <f t="array" aca="1" ref="V21" ca="1">IF($R21="Y",VLOOKUP($S21,INDIRECT($P$1),V$2,0)*INDIRECT($Q$1),VLOOKUP($S21,INDIRECT($P$1),V$2,0))</f>
        <v>49.082048124999993</v>
      </c>
      <c r="W21" s="292" cm="1">
        <f t="array" aca="1" ref="W21" ca="1">IF($R21="Y",VLOOKUP($S21,INDIRECT($P$1),W$2,0)*INDIRECT($Q$1),VLOOKUP($S21,INDIRECT($P$1),W$2,0))</f>
        <v>49.917294999999989</v>
      </c>
      <c r="X21" s="292" cm="1">
        <f t="array" aca="1" ref="X21" ca="1">IF($R21="Y",VLOOKUP($S21,INDIRECT($P$1),X$2,0)*INDIRECT($Q$1),VLOOKUP($S21,INDIRECT($P$1),X$2,0))</f>
        <v>50.751491249999987</v>
      </c>
      <c r="Y21" s="292" cm="1">
        <f t="array" aca="1" ref="Y21" ca="1">IF($R21="Y",VLOOKUP($S21,INDIRECT($P$1),Y$2,0)*INDIRECT($Q$1),VLOOKUP($S21,INDIRECT($P$1),Y$2,0))</f>
        <v>53.847683124999989</v>
      </c>
      <c r="Z21" s="292"/>
      <c r="AB21" s="203" t="str">
        <f t="shared" si="11"/>
        <v>04435C</v>
      </c>
      <c r="AC21" s="203" t="str">
        <f t="shared" si="1"/>
        <v>CFG 4</v>
      </c>
      <c r="AD21" s="203" t="str">
        <f t="shared" si="12"/>
        <v>Fire Staff Captain (40 hrs.)</v>
      </c>
      <c r="AE21" s="255">
        <f t="shared" ca="1" si="13"/>
        <v>48.265000000000001</v>
      </c>
      <c r="AF21" s="255">
        <f t="shared" ca="1" si="4"/>
        <v>49.082000000000001</v>
      </c>
      <c r="AG21" s="255">
        <f t="shared" ca="1" si="4"/>
        <v>49.917000000000002</v>
      </c>
      <c r="AH21" s="255">
        <f t="shared" ca="1" si="4"/>
        <v>50.750999999999998</v>
      </c>
      <c r="AI21" s="203"/>
      <c r="AJ21" s="203"/>
    </row>
    <row r="22" spans="1:36" ht="18.75" customHeight="1">
      <c r="A22"/>
      <c r="B22"/>
      <c r="C22"/>
      <c r="D22"/>
      <c r="E22"/>
      <c r="F22"/>
      <c r="G22"/>
      <c r="H22"/>
      <c r="I22"/>
      <c r="J22"/>
      <c r="K22"/>
      <c r="L22"/>
      <c r="M22" s="165"/>
      <c r="N22" s="42"/>
      <c r="O22" s="289">
        <v>109.2</v>
      </c>
      <c r="P22" s="291" t="s">
        <v>284</v>
      </c>
      <c r="Q22" s="291" t="s">
        <v>235</v>
      </c>
      <c r="R22" s="291" t="s">
        <v>287</v>
      </c>
      <c r="S22" s="291" t="s">
        <v>280</v>
      </c>
      <c r="T22" s="289" t="s">
        <v>281</v>
      </c>
      <c r="U22" s="292" cm="1">
        <f t="array" aca="1" ref="U22" ca="1">IF($R22="Y",VLOOKUP($S22,INDIRECT($P$1),U$2,0)*INDIRECT($Q$1),VLOOKUP($S22,INDIRECT($P$1),U$2,0))</f>
        <v>24.586726249999998</v>
      </c>
      <c r="V22" s="292" cm="1">
        <f t="array" aca="1" ref="V22" ca="1">IF($R22="Y",VLOOKUP($S22,INDIRECT($P$1),V$2,0)*INDIRECT($Q$1),VLOOKUP($S22,INDIRECT($P$1),V$2,0))</f>
        <v>25.570111249999997</v>
      </c>
      <c r="W22" s="292" cm="1">
        <f t="array" aca="1" ref="W22" ca="1">IF($R22="Y",VLOOKUP($S22,INDIRECT($P$1),W$2,0)*INDIRECT($Q$1),VLOOKUP($S22,INDIRECT($P$1),W$2,0))</f>
        <v>26.593419999999995</v>
      </c>
      <c r="X22" s="292" cm="1">
        <f t="array" aca="1" ref="X22" ca="1">IF($R22="Y",VLOOKUP($S22,INDIRECT($P$1),X$2,0)*INDIRECT($Q$1),VLOOKUP($S22,INDIRECT($P$1),X$2,0))</f>
        <v>27.656652499999996</v>
      </c>
      <c r="Y22" s="292" cm="1">
        <f t="array" aca="1" ref="Y22" ca="1">IF($R22="Y",VLOOKUP($S22,INDIRECT($P$1),Y$2,0)*INDIRECT($Q$1),VLOOKUP($S22,INDIRECT($P$1),Y$2,0))</f>
        <v>28.762960624999998</v>
      </c>
      <c r="Z22" s="292" cm="1">
        <f t="array" aca="1" ref="Z22" ca="1">IF($R22="Y",VLOOKUP($S22,INDIRECT($P$1),Z$2,0)*INDIRECT($Q$1),VLOOKUP($S22,INDIRECT($P$1),Z$2,0))</f>
        <v>29.913394999999994</v>
      </c>
      <c r="AA22" s="248" t="s">
        <v>283</v>
      </c>
      <c r="AB22" s="203" t="str">
        <f t="shared" si="11"/>
        <v>04452C</v>
      </c>
      <c r="AC22" s="203" t="str">
        <f>Q22</f>
        <v>CFH 1</v>
      </c>
      <c r="AD22" s="203" t="str">
        <f t="shared" si="12"/>
        <v>Firerighter Bell Curve-C</v>
      </c>
      <c r="AE22" s="255">
        <f t="shared" ca="1" si="13"/>
        <v>24.587</v>
      </c>
      <c r="AF22" s="255">
        <f t="shared" ca="1" si="4"/>
        <v>25.57</v>
      </c>
      <c r="AG22" s="255">
        <f t="shared" ca="1" si="4"/>
        <v>26.593</v>
      </c>
      <c r="AH22" s="255">
        <f t="shared" ca="1" si="4"/>
        <v>27.657</v>
      </c>
      <c r="AI22" s="255">
        <f t="shared" ca="1" si="4"/>
        <v>28.763000000000002</v>
      </c>
      <c r="AJ22" s="255">
        <f t="shared" ca="1" si="4"/>
        <v>29.913</v>
      </c>
    </row>
    <row r="23" spans="1:36" s="98" customFormat="1" ht="27.75" customHeight="1">
      <c r="A23" s="41" t="s">
        <v>303</v>
      </c>
      <c r="B23" s="42"/>
      <c r="C23" s="232"/>
      <c r="D23" s="42"/>
      <c r="E23" s="42"/>
      <c r="F23" s="42"/>
      <c r="G23" s="232"/>
      <c r="H23" s="232"/>
      <c r="I23" s="232"/>
      <c r="J23" s="232"/>
      <c r="K23" s="232"/>
      <c r="L23" s="232"/>
      <c r="M23" s="232"/>
      <c r="N23" s="157"/>
      <c r="O23" s="281"/>
      <c r="P23" s="282"/>
      <c r="Q23" s="282"/>
      <c r="R23" s="282"/>
      <c r="S23" s="285"/>
      <c r="T23" s="282"/>
      <c r="U23" s="282"/>
      <c r="V23" s="282"/>
      <c r="W23" s="282"/>
      <c r="X23" s="282"/>
      <c r="Y23" s="282"/>
      <c r="Z23" s="286"/>
      <c r="AB23" s="256"/>
      <c r="AC23" s="256"/>
      <c r="AD23" s="254" t="s">
        <v>299</v>
      </c>
      <c r="AE23" s="256"/>
      <c r="AF23" s="256"/>
      <c r="AG23" s="256"/>
      <c r="AH23" s="256"/>
      <c r="AI23" s="256"/>
      <c r="AJ23" s="256"/>
    </row>
    <row r="24" spans="1:36" s="98" customFormat="1" ht="17.25" customHeight="1">
      <c r="A24" s="50" t="s">
        <v>50</v>
      </c>
      <c r="B24" s="42"/>
      <c r="C24" s="232"/>
      <c r="D24" s="42"/>
      <c r="E24" s="42"/>
      <c r="F24" s="42"/>
      <c r="G24" s="232"/>
      <c r="H24" s="232"/>
      <c r="I24" s="232"/>
      <c r="J24" s="232"/>
      <c r="K24" s="232"/>
      <c r="L24" s="232"/>
      <c r="M24" s="232"/>
      <c r="N24" s="157"/>
      <c r="O24" s="281"/>
      <c r="P24" s="282"/>
      <c r="Q24" s="282"/>
      <c r="R24" s="282"/>
      <c r="S24" s="285"/>
      <c r="T24" s="282"/>
      <c r="U24" s="282"/>
      <c r="V24" s="282"/>
      <c r="W24" s="282"/>
      <c r="X24" s="282"/>
      <c r="Y24" s="282"/>
      <c r="Z24" s="286"/>
      <c r="AB24" s="256"/>
      <c r="AC24" s="256"/>
      <c r="AD24" s="256"/>
      <c r="AE24" s="256"/>
      <c r="AF24" s="256"/>
      <c r="AG24" s="256"/>
      <c r="AH24" s="256"/>
      <c r="AI24" s="256"/>
      <c r="AJ24" s="256"/>
    </row>
    <row r="25" spans="1:36" s="98" customFormat="1" ht="17.25" customHeight="1">
      <c r="A25" s="42" t="s">
        <v>51</v>
      </c>
      <c r="B25" s="42"/>
      <c r="C25" s="232"/>
      <c r="D25" s="42"/>
      <c r="E25" s="42"/>
      <c r="F25" s="42"/>
      <c r="G25" s="232"/>
      <c r="H25" s="232"/>
      <c r="I25" s="232"/>
      <c r="J25" s="232"/>
      <c r="K25" s="232"/>
      <c r="L25" s="232"/>
      <c r="M25" s="232"/>
      <c r="N25" s="157"/>
      <c r="O25" s="281"/>
      <c r="P25" s="282"/>
      <c r="Q25" s="282"/>
      <c r="R25" s="282"/>
      <c r="S25" s="285"/>
      <c r="T25" s="282"/>
      <c r="U25" s="282"/>
      <c r="V25" s="282"/>
      <c r="W25" s="282"/>
      <c r="X25" s="282"/>
      <c r="Y25" s="282"/>
      <c r="Z25" s="286"/>
      <c r="AB25" s="256"/>
      <c r="AC25" s="256"/>
      <c r="AD25" s="256"/>
      <c r="AE25" s="256"/>
      <c r="AF25" s="256"/>
      <c r="AG25" s="256"/>
      <c r="AH25" s="256"/>
      <c r="AI25" s="256"/>
      <c r="AJ25" s="256"/>
    </row>
    <row r="26" spans="1:36" s="98" customFormat="1" ht="17.25" customHeight="1">
      <c r="A26" s="50" t="s">
        <v>52</v>
      </c>
      <c r="B26" s="232"/>
      <c r="C26" s="23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157"/>
      <c r="O26" s="281"/>
      <c r="P26" s="282"/>
      <c r="Q26" s="282"/>
      <c r="R26" s="282"/>
      <c r="S26" s="285"/>
      <c r="T26" s="282"/>
      <c r="U26" s="282"/>
      <c r="V26" s="282"/>
      <c r="W26" s="282"/>
      <c r="X26" s="282"/>
      <c r="Y26" s="282"/>
      <c r="Z26" s="286"/>
      <c r="AB26" s="256"/>
      <c r="AC26" s="256"/>
      <c r="AD26" s="256"/>
      <c r="AE26" s="256"/>
      <c r="AF26" s="256"/>
      <c r="AG26" s="256"/>
      <c r="AH26" s="256"/>
      <c r="AI26" s="256"/>
      <c r="AJ26" s="256"/>
    </row>
    <row r="27" spans="1:36" s="98" customFormat="1" ht="17.25" customHeight="1">
      <c r="A27" s="50"/>
      <c r="B27" s="232"/>
      <c r="C27" s="23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157"/>
      <c r="O27" s="281"/>
      <c r="P27" s="281"/>
      <c r="Q27" s="281"/>
      <c r="R27" s="281"/>
      <c r="S27" s="294"/>
      <c r="T27" s="282"/>
      <c r="U27" s="342" t="s">
        <v>278</v>
      </c>
      <c r="V27" s="343"/>
      <c r="W27" s="281"/>
      <c r="X27" s="282"/>
      <c r="Y27" s="282"/>
      <c r="Z27" s="282"/>
      <c r="AB27" s="256"/>
      <c r="AC27" s="256"/>
      <c r="AD27" s="254"/>
      <c r="AE27" s="256"/>
      <c r="AF27" s="256"/>
      <c r="AG27" s="256"/>
      <c r="AH27" s="256"/>
      <c r="AI27" s="256"/>
      <c r="AJ27" s="256"/>
    </row>
    <row r="28" spans="1:36" ht="27.75" customHeight="1">
      <c r="A28" s="41" t="s">
        <v>136</v>
      </c>
      <c r="B28" s="42" t="s">
        <v>160</v>
      </c>
      <c r="P28" s="281"/>
      <c r="Q28" s="281"/>
      <c r="R28" s="281"/>
      <c r="S28" s="294"/>
      <c r="U28" s="288" t="s">
        <v>230</v>
      </c>
      <c r="V28" s="288" t="s">
        <v>231</v>
      </c>
      <c r="W28" s="281"/>
      <c r="Z28" s="282"/>
      <c r="AA28" s="98"/>
      <c r="AB28" s="257">
        <f t="shared" ref="AB28:AB69" si="19">S28</f>
        <v>0</v>
      </c>
      <c r="AC28" s="203"/>
      <c r="AD28" s="203"/>
      <c r="AE28" s="258" t="str">
        <f>U28</f>
        <v>CFF/109.2</v>
      </c>
      <c r="AF28" s="258" t="str">
        <f>V28</f>
        <v>CFG/80</v>
      </c>
    </row>
    <row r="29" spans="1:36" ht="17.25" customHeight="1">
      <c r="A29" s="56">
        <f t="shared" ref="A29:A47" ca="1" si="20">T29</f>
        <v>18.181061474786752</v>
      </c>
      <c r="B29" s="52" t="s">
        <v>161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60"/>
      <c r="P29" s="281"/>
      <c r="Q29" s="281"/>
      <c r="R29" s="291" t="s">
        <v>287</v>
      </c>
      <c r="S29" s="326" t="str">
        <f t="shared" ref="S29:S47" si="21">"Non FF "&amp;B29</f>
        <v>Non FF  7th year of service</v>
      </c>
      <c r="T29" s="322" cm="1">
        <f t="array" aca="1" ref="T29" ca="1">IF($R29="Y",VLOOKUP(S29,INDIRECT($P$1),2,0)*INDIRECT($Q$1),VLOOKUP(S29,INDIRECT($P$1),2,0))</f>
        <v>18.181061474786752</v>
      </c>
      <c r="U29" s="292">
        <f ca="1">T29/109.2</f>
        <v>0.16649323694859663</v>
      </c>
      <c r="V29" s="292">
        <f ca="1">T29/80</f>
        <v>0.22726326843483441</v>
      </c>
      <c r="W29" s="296"/>
      <c r="Z29" s="282"/>
      <c r="AA29" s="98"/>
      <c r="AB29" s="203" t="str">
        <f t="shared" si="19"/>
        <v>Non FF  7th year of service</v>
      </c>
      <c r="AC29" s="203"/>
      <c r="AD29" s="203"/>
      <c r="AE29" s="255">
        <f t="shared" ref="AE29:AF44" ca="1" si="22">ROUND(U29,3)</f>
        <v>0.16600000000000001</v>
      </c>
      <c r="AF29" s="255">
        <f t="shared" ca="1" si="22"/>
        <v>0.22700000000000001</v>
      </c>
    </row>
    <row r="30" spans="1:36" ht="17.25" customHeight="1">
      <c r="A30" s="56">
        <f t="shared" ca="1" si="20"/>
        <v>25.786211372736695</v>
      </c>
      <c r="B30" s="52" t="s">
        <v>162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60"/>
      <c r="P30" s="281"/>
      <c r="Q30" s="281"/>
      <c r="R30" s="291" t="s">
        <v>287</v>
      </c>
      <c r="S30" s="326" t="str">
        <f t="shared" si="21"/>
        <v>Non FF  8th year of service</v>
      </c>
      <c r="T30" s="322" cm="1">
        <f t="array" aca="1" ref="T30" ca="1">IF($R30="Y",VLOOKUP(S30,INDIRECT($P$1),2,0)*INDIRECT($Q$1),VLOOKUP(S30,INDIRECT($P$1),2,0))</f>
        <v>25.786211372736695</v>
      </c>
      <c r="U30" s="292">
        <f t="shared" ref="U30:U47" ca="1" si="23">T30/109.2</f>
        <v>0.23613746678330305</v>
      </c>
      <c r="V30" s="292">
        <f t="shared" ref="V30:V47" ca="1" si="24">T30/80</f>
        <v>0.32232764215920867</v>
      </c>
      <c r="W30" s="296"/>
      <c r="Y30" s="297"/>
      <c r="Z30" s="282"/>
      <c r="AA30" s="98"/>
      <c r="AB30" s="203" t="str">
        <f t="shared" si="19"/>
        <v>Non FF  8th year of service</v>
      </c>
      <c r="AC30" s="203"/>
      <c r="AD30" s="203"/>
      <c r="AE30" s="255">
        <f t="shared" ca="1" si="22"/>
        <v>0.23599999999999999</v>
      </c>
      <c r="AF30" s="255">
        <f t="shared" ca="1" si="22"/>
        <v>0.32200000000000001</v>
      </c>
    </row>
    <row r="31" spans="1:36" ht="17.25" customHeight="1">
      <c r="A31" s="56">
        <f t="shared" ca="1" si="20"/>
        <v>33.391361270686744</v>
      </c>
      <c r="B31" s="52" t="s">
        <v>163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160"/>
      <c r="P31" s="281"/>
      <c r="Q31" s="281"/>
      <c r="R31" s="291" t="s">
        <v>287</v>
      </c>
      <c r="S31" s="326" t="str">
        <f t="shared" si="21"/>
        <v>Non FF  9th year of service</v>
      </c>
      <c r="T31" s="322" cm="1">
        <f t="array" aca="1" ref="T31" ca="1">IF($R31="Y",VLOOKUP(S31,INDIRECT($P$1),2,0)*INDIRECT($Q$1),VLOOKUP(S31,INDIRECT($P$1),2,0))</f>
        <v>33.391361270686744</v>
      </c>
      <c r="U31" s="292">
        <f t="shared" ca="1" si="23"/>
        <v>0.30578169661801047</v>
      </c>
      <c r="V31" s="292">
        <f t="shared" ca="1" si="24"/>
        <v>0.41739201588358432</v>
      </c>
      <c r="W31" s="296"/>
      <c r="Y31" s="297"/>
      <c r="Z31" s="282"/>
      <c r="AA31" s="98"/>
      <c r="AB31" s="203" t="str">
        <f t="shared" si="19"/>
        <v>Non FF  9th year of service</v>
      </c>
      <c r="AC31" s="203"/>
      <c r="AD31" s="203"/>
      <c r="AE31" s="255">
        <f t="shared" ca="1" si="22"/>
        <v>0.30599999999999999</v>
      </c>
      <c r="AF31" s="255">
        <f t="shared" ca="1" si="22"/>
        <v>0.41699999999999998</v>
      </c>
    </row>
    <row r="32" spans="1:36" ht="17.25" customHeight="1">
      <c r="A32" s="56">
        <f t="shared" ca="1" si="20"/>
        <v>40.9965111686368</v>
      </c>
      <c r="B32" s="52" t="s">
        <v>164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160"/>
      <c r="P32" s="281"/>
      <c r="Q32" s="281"/>
      <c r="R32" s="291" t="s">
        <v>287</v>
      </c>
      <c r="S32" s="326" t="str">
        <f t="shared" si="21"/>
        <v>Non FF  10th year of service</v>
      </c>
      <c r="T32" s="322" cm="1">
        <f t="array" aca="1" ref="T32" ca="1">IF($R32="Y",VLOOKUP(S32,INDIRECT($P$1),2,0)*INDIRECT($Q$1),VLOOKUP(S32,INDIRECT($P$1),2,0))</f>
        <v>40.9965111686368</v>
      </c>
      <c r="U32" s="292">
        <f t="shared" ca="1" si="23"/>
        <v>0.37542592645271794</v>
      </c>
      <c r="V32" s="292">
        <f t="shared" ca="1" si="24"/>
        <v>0.51245638960796003</v>
      </c>
      <c r="W32" s="296"/>
      <c r="Y32" s="297"/>
      <c r="Z32" s="282"/>
      <c r="AA32" s="98"/>
      <c r="AB32" s="203" t="str">
        <f t="shared" si="19"/>
        <v>Non FF  10th year of service</v>
      </c>
      <c r="AC32" s="203"/>
      <c r="AD32" s="203"/>
      <c r="AE32" s="255">
        <f t="shared" ca="1" si="22"/>
        <v>0.375</v>
      </c>
      <c r="AF32" s="255">
        <f t="shared" ca="1" si="22"/>
        <v>0.51200000000000001</v>
      </c>
    </row>
    <row r="33" spans="1:32" ht="17.25" customHeight="1">
      <c r="A33" s="56">
        <f t="shared" ca="1" si="20"/>
        <v>48.601661066586757</v>
      </c>
      <c r="B33" s="52" t="s">
        <v>165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160"/>
      <c r="P33" s="281"/>
      <c r="Q33" s="281"/>
      <c r="R33" s="291" t="s">
        <v>287</v>
      </c>
      <c r="S33" s="326" t="str">
        <f t="shared" si="21"/>
        <v>Non FF  11th year of service</v>
      </c>
      <c r="T33" s="322" cm="1">
        <f t="array" aca="1" ref="T33" ca="1">IF($R33="Y",VLOOKUP(S33,INDIRECT($P$1),2,0)*INDIRECT($Q$1),VLOOKUP(S33,INDIRECT($P$1),2,0))</f>
        <v>48.601661066586757</v>
      </c>
      <c r="U33" s="292">
        <f t="shared" ca="1" si="23"/>
        <v>0.44507015628742452</v>
      </c>
      <c r="V33" s="292">
        <f t="shared" ca="1" si="24"/>
        <v>0.60752076333233451</v>
      </c>
      <c r="W33" s="296"/>
      <c r="Y33" s="297"/>
      <c r="Z33" s="282"/>
      <c r="AA33" s="98"/>
      <c r="AB33" s="203" t="str">
        <f t="shared" si="19"/>
        <v>Non FF  11th year of service</v>
      </c>
      <c r="AC33" s="203"/>
      <c r="AD33" s="203"/>
      <c r="AE33" s="255">
        <f t="shared" ca="1" si="22"/>
        <v>0.44500000000000001</v>
      </c>
      <c r="AF33" s="255">
        <f t="shared" ca="1" si="22"/>
        <v>0.60799999999999998</v>
      </c>
    </row>
    <row r="34" spans="1:32" ht="17.25" customHeight="1">
      <c r="A34" s="56">
        <f t="shared" ca="1" si="20"/>
        <v>146.8893112125543</v>
      </c>
      <c r="B34" s="52" t="s">
        <v>166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160"/>
      <c r="P34" s="281"/>
      <c r="Q34" s="281"/>
      <c r="R34" s="291" t="s">
        <v>287</v>
      </c>
      <c r="S34" s="326" t="str">
        <f t="shared" si="21"/>
        <v>Non FF  12th year of service</v>
      </c>
      <c r="T34" s="322" cm="1">
        <f t="array" aca="1" ref="T34" ca="1">IF($R34="Y",VLOOKUP(S34,INDIRECT($P$1),2,0)*INDIRECT($Q$1),VLOOKUP(S34,INDIRECT($P$1),2,0))</f>
        <v>146.8893112125543</v>
      </c>
      <c r="U34" s="292">
        <f t="shared" ca="1" si="23"/>
        <v>1.3451402125691785</v>
      </c>
      <c r="V34" s="292">
        <f t="shared" ca="1" si="24"/>
        <v>1.8361163901569288</v>
      </c>
      <c r="W34" s="296"/>
      <c r="Y34" s="297"/>
      <c r="Z34" s="282"/>
      <c r="AA34" s="98"/>
      <c r="AB34" s="203" t="str">
        <f t="shared" si="19"/>
        <v>Non FF  12th year of service</v>
      </c>
      <c r="AC34" s="203"/>
      <c r="AD34" s="203"/>
      <c r="AE34" s="255">
        <f t="shared" ca="1" si="22"/>
        <v>1.345</v>
      </c>
      <c r="AF34" s="255">
        <f t="shared" ca="1" si="22"/>
        <v>1.8360000000000001</v>
      </c>
    </row>
    <row r="35" spans="1:32" ht="17.25" customHeight="1">
      <c r="A35" s="56">
        <f t="shared" ca="1" si="20"/>
        <v>155.14802867985924</v>
      </c>
      <c r="B35" s="52" t="s">
        <v>167</v>
      </c>
      <c r="P35" s="281"/>
      <c r="Q35" s="281"/>
      <c r="R35" s="291" t="s">
        <v>287</v>
      </c>
      <c r="S35" s="326" t="str">
        <f t="shared" si="21"/>
        <v>Non FF  13th year of service</v>
      </c>
      <c r="T35" s="322" cm="1">
        <f t="array" aca="1" ref="T35" ca="1">IF($R35="Y",VLOOKUP(S35,INDIRECT($P$1),2,0)*INDIRECT($Q$1),VLOOKUP(S35,INDIRECT($P$1),2,0))</f>
        <v>155.14802867985924</v>
      </c>
      <c r="U35" s="292">
        <f t="shared" ca="1" si="23"/>
        <v>1.4207694934053043</v>
      </c>
      <c r="V35" s="292">
        <f t="shared" ca="1" si="24"/>
        <v>1.9393503584982406</v>
      </c>
      <c r="W35" s="296"/>
      <c r="Y35" s="297"/>
      <c r="Z35" s="282"/>
      <c r="AA35" s="98"/>
      <c r="AB35" s="203" t="str">
        <f t="shared" si="19"/>
        <v>Non FF  13th year of service</v>
      </c>
      <c r="AC35" s="203"/>
      <c r="AD35" s="203"/>
      <c r="AE35" s="255">
        <f t="shared" ca="1" si="22"/>
        <v>1.421</v>
      </c>
      <c r="AF35" s="255">
        <f t="shared" ca="1" si="22"/>
        <v>1.9390000000000001</v>
      </c>
    </row>
    <row r="36" spans="1:32" ht="17.25" customHeight="1">
      <c r="A36" s="56">
        <f t="shared" ca="1" si="20"/>
        <v>163.39189233876954</v>
      </c>
      <c r="B36" s="52" t="s">
        <v>168</v>
      </c>
      <c r="P36" s="281"/>
      <c r="Q36" s="281"/>
      <c r="R36" s="291" t="s">
        <v>287</v>
      </c>
      <c r="S36" s="326" t="str">
        <f t="shared" si="21"/>
        <v>Non FF  14th year of service</v>
      </c>
      <c r="T36" s="322" cm="1">
        <f t="array" aca="1" ref="T36" ca="1">IF($R36="Y",VLOOKUP(S36,INDIRECT($P$1),2,0)*INDIRECT($Q$1),VLOOKUP(S36,INDIRECT($P$1),2,0))</f>
        <v>163.39189233876954</v>
      </c>
      <c r="U36" s="292">
        <f t="shared" ca="1" si="23"/>
        <v>1.4962627503550323</v>
      </c>
      <c r="V36" s="292">
        <f t="shared" ca="1" si="24"/>
        <v>2.0423986542346193</v>
      </c>
      <c r="W36" s="296"/>
      <c r="Y36" s="297"/>
      <c r="Z36" s="282"/>
      <c r="AA36" s="98"/>
      <c r="AB36" s="203" t="str">
        <f t="shared" si="19"/>
        <v>Non FF  14th year of service</v>
      </c>
      <c r="AC36" s="203"/>
      <c r="AD36" s="203"/>
      <c r="AE36" s="255">
        <f t="shared" ca="1" si="22"/>
        <v>1.496</v>
      </c>
      <c r="AF36" s="255">
        <f t="shared" ca="1" si="22"/>
        <v>2.0419999999999998</v>
      </c>
    </row>
    <row r="37" spans="1:32" ht="17.25" customHeight="1">
      <c r="A37" s="56">
        <f t="shared" ca="1" si="20"/>
        <v>213.71659517911067</v>
      </c>
      <c r="B37" s="52" t="s">
        <v>169</v>
      </c>
      <c r="P37" s="281"/>
      <c r="Q37" s="281"/>
      <c r="R37" s="291" t="s">
        <v>287</v>
      </c>
      <c r="S37" s="326" t="str">
        <f t="shared" si="21"/>
        <v>Non FF  15th year of service</v>
      </c>
      <c r="T37" s="322" cm="1">
        <f t="array" aca="1" ref="T37" ca="1">IF($R37="Y",VLOOKUP(S37,INDIRECT($P$1),2,0)*INDIRECT($Q$1),VLOOKUP(S37,INDIRECT($P$1),2,0))</f>
        <v>213.71659517911067</v>
      </c>
      <c r="U37" s="292">
        <f t="shared" ca="1" si="23"/>
        <v>1.9571116774643833</v>
      </c>
      <c r="V37" s="292">
        <f t="shared" ca="1" si="24"/>
        <v>2.6714574397388833</v>
      </c>
      <c r="W37" s="296"/>
      <c r="Y37" s="297"/>
      <c r="Z37" s="282"/>
      <c r="AA37" s="98"/>
      <c r="AB37" s="203" t="str">
        <f t="shared" si="19"/>
        <v>Non FF  15th year of service</v>
      </c>
      <c r="AC37" s="203"/>
      <c r="AD37" s="203"/>
      <c r="AE37" s="255">
        <f t="shared" ca="1" si="22"/>
        <v>1.9570000000000001</v>
      </c>
      <c r="AF37" s="255">
        <f t="shared" ca="1" si="22"/>
        <v>2.6709999999999998</v>
      </c>
    </row>
    <row r="38" spans="1:32" ht="17.25" customHeight="1">
      <c r="A38" s="56">
        <f t="shared" ca="1" si="20"/>
        <v>221.960458838021</v>
      </c>
      <c r="B38" s="52" t="s">
        <v>170</v>
      </c>
      <c r="P38" s="281"/>
      <c r="Q38" s="281"/>
      <c r="R38" s="291" t="s">
        <v>287</v>
      </c>
      <c r="S38" s="326" t="str">
        <f t="shared" si="21"/>
        <v>Non FF  16th year of service</v>
      </c>
      <c r="T38" s="322" cm="1">
        <f t="array" aca="1" ref="T38" ca="1">IF($R38="Y",VLOOKUP(S38,INDIRECT($P$1),2,0)*INDIRECT($Q$1),VLOOKUP(S38,INDIRECT($P$1),2,0))</f>
        <v>221.960458838021</v>
      </c>
      <c r="U38" s="292">
        <f t="shared" ca="1" si="23"/>
        <v>2.0326049344141115</v>
      </c>
      <c r="V38" s="292">
        <f t="shared" ca="1" si="24"/>
        <v>2.7745057354752625</v>
      </c>
      <c r="W38" s="296"/>
      <c r="Y38" s="297"/>
      <c r="Z38" s="282"/>
      <c r="AA38" s="98"/>
      <c r="AB38" s="203" t="str">
        <f t="shared" si="19"/>
        <v>Non FF  16th year of service</v>
      </c>
      <c r="AC38" s="203"/>
      <c r="AD38" s="203"/>
      <c r="AE38" s="255">
        <f t="shared" ca="1" si="22"/>
        <v>2.0329999999999999</v>
      </c>
      <c r="AF38" s="255">
        <f t="shared" ca="1" si="22"/>
        <v>2.7749999999999999</v>
      </c>
    </row>
    <row r="39" spans="1:32" ht="17.25" customHeight="1">
      <c r="A39" s="56">
        <f t="shared" ca="1" si="20"/>
        <v>230.21917630532596</v>
      </c>
      <c r="B39" s="52" t="s">
        <v>171</v>
      </c>
      <c r="P39" s="281"/>
      <c r="Q39" s="281"/>
      <c r="R39" s="291" t="s">
        <v>287</v>
      </c>
      <c r="S39" s="326" t="str">
        <f t="shared" si="21"/>
        <v>Non FF  17th year of service</v>
      </c>
      <c r="T39" s="322" cm="1">
        <f t="array" aca="1" ref="T39" ca="1">IF($R39="Y",VLOOKUP(S39,INDIRECT($P$1),2,0)*INDIRECT($Q$1),VLOOKUP(S39,INDIRECT($P$1),2,0))</f>
        <v>230.21917630532596</v>
      </c>
      <c r="U39" s="292">
        <f t="shared" ca="1" si="23"/>
        <v>2.1082342152502376</v>
      </c>
      <c r="V39" s="292">
        <f t="shared" ca="1" si="24"/>
        <v>2.8777397038165744</v>
      </c>
      <c r="W39" s="296"/>
      <c r="Y39" s="297"/>
      <c r="Z39" s="282"/>
      <c r="AA39" s="98"/>
      <c r="AB39" s="203" t="str">
        <f t="shared" si="19"/>
        <v>Non FF  17th year of service</v>
      </c>
      <c r="AC39" s="203"/>
      <c r="AD39" s="203"/>
      <c r="AE39" s="255">
        <f t="shared" ca="1" si="22"/>
        <v>2.1080000000000001</v>
      </c>
      <c r="AF39" s="255">
        <f t="shared" ca="1" si="22"/>
        <v>2.8780000000000001</v>
      </c>
    </row>
    <row r="40" spans="1:32" ht="17.25" customHeight="1">
      <c r="A40" s="56">
        <f t="shared" ca="1" si="20"/>
        <v>238.47789377263206</v>
      </c>
      <c r="B40" s="52" t="s">
        <v>172</v>
      </c>
      <c r="P40" s="281"/>
      <c r="Q40" s="281"/>
      <c r="R40" s="291" t="s">
        <v>287</v>
      </c>
      <c r="S40" s="326" t="str">
        <f t="shared" si="21"/>
        <v>Non FF  18th year of service</v>
      </c>
      <c r="T40" s="322" cm="1">
        <f t="array" aca="1" ref="T40" ca="1">IF($R40="Y",VLOOKUP(S40,INDIRECT($P$1),2,0)*INDIRECT($Q$1),VLOOKUP(S40,INDIRECT($P$1),2,0))</f>
        <v>238.47789377263206</v>
      </c>
      <c r="U40" s="292">
        <f t="shared" ca="1" si="23"/>
        <v>2.1838634960863743</v>
      </c>
      <c r="V40" s="292">
        <f t="shared" ca="1" si="24"/>
        <v>2.9809736721579005</v>
      </c>
      <c r="W40" s="296"/>
      <c r="Y40" s="297"/>
      <c r="Z40" s="282"/>
      <c r="AA40" s="98"/>
      <c r="AB40" s="203" t="str">
        <f t="shared" si="19"/>
        <v>Non FF  18th year of service</v>
      </c>
      <c r="AC40" s="203"/>
      <c r="AD40" s="203"/>
      <c r="AE40" s="255">
        <f t="shared" ca="1" si="22"/>
        <v>2.1840000000000002</v>
      </c>
      <c r="AF40" s="255">
        <f t="shared" ca="1" si="22"/>
        <v>2.9809999999999999</v>
      </c>
    </row>
    <row r="41" spans="1:32" ht="17.25" customHeight="1">
      <c r="A41" s="56">
        <f t="shared" ca="1" si="20"/>
        <v>261.88749580225885</v>
      </c>
      <c r="B41" s="52" t="s">
        <v>173</v>
      </c>
      <c r="P41" s="281"/>
      <c r="Q41" s="281"/>
      <c r="R41" s="291" t="s">
        <v>287</v>
      </c>
      <c r="S41" s="326" t="str">
        <f t="shared" si="21"/>
        <v>Non FF  19th year of service</v>
      </c>
      <c r="T41" s="322" cm="1">
        <f t="array" aca="1" ref="T41" ca="1">IF($R41="Y",VLOOKUP(S41,INDIRECT($P$1),2,0)*INDIRECT($Q$1),VLOOKUP(S41,INDIRECT($P$1),2,0))</f>
        <v>261.88749580225885</v>
      </c>
      <c r="U41" s="292">
        <f t="shared" ca="1" si="23"/>
        <v>2.3982371410463266</v>
      </c>
      <c r="V41" s="292">
        <f t="shared" ca="1" si="24"/>
        <v>3.2735936975282356</v>
      </c>
      <c r="W41" s="296"/>
      <c r="Y41" s="297"/>
      <c r="Z41" s="282"/>
      <c r="AA41" s="98"/>
      <c r="AB41" s="203" t="str">
        <f t="shared" si="19"/>
        <v>Non FF  19th year of service</v>
      </c>
      <c r="AC41" s="203"/>
      <c r="AD41" s="203"/>
      <c r="AE41" s="255">
        <f t="shared" ca="1" si="22"/>
        <v>2.3980000000000001</v>
      </c>
      <c r="AF41" s="255">
        <f t="shared" ca="1" si="22"/>
        <v>3.274</v>
      </c>
    </row>
    <row r="42" spans="1:32" ht="17.25" customHeight="1">
      <c r="A42" s="56">
        <f t="shared" ca="1" si="20"/>
        <v>329.02670974509857</v>
      </c>
      <c r="B42" s="52" t="s">
        <v>174</v>
      </c>
      <c r="P42" s="281"/>
      <c r="Q42" s="281"/>
      <c r="R42" s="291" t="s">
        <v>287</v>
      </c>
      <c r="S42" s="326" t="str">
        <f t="shared" si="21"/>
        <v>Non FF  20th year of service</v>
      </c>
      <c r="T42" s="322" cm="1">
        <f t="array" aca="1" ref="T42" ca="1">IF($R42="Y",VLOOKUP(S42,INDIRECT($P$1),2,0)*INDIRECT($Q$1),VLOOKUP(S42,INDIRECT($P$1),2,0))</f>
        <v>329.02670974509857</v>
      </c>
      <c r="U42" s="292">
        <f t="shared" ca="1" si="23"/>
        <v>3.0130651075558474</v>
      </c>
      <c r="V42" s="292">
        <f t="shared" ca="1" si="24"/>
        <v>4.1128338718137325</v>
      </c>
      <c r="W42" s="296"/>
      <c r="Y42" s="297"/>
      <c r="Z42" s="282"/>
      <c r="AA42" s="98"/>
      <c r="AB42" s="203" t="str">
        <f t="shared" si="19"/>
        <v>Non FF  20th year of service</v>
      </c>
      <c r="AC42" s="203"/>
      <c r="AD42" s="203"/>
      <c r="AE42" s="255">
        <f t="shared" ca="1" si="22"/>
        <v>3.0129999999999999</v>
      </c>
      <c r="AF42" s="255">
        <f t="shared" ca="1" si="22"/>
        <v>4.1130000000000004</v>
      </c>
    </row>
    <row r="43" spans="1:32" ht="17.25" customHeight="1">
      <c r="A43" s="56">
        <f t="shared" ca="1" si="20"/>
        <v>337.28542721240353</v>
      </c>
      <c r="B43" s="52" t="s">
        <v>175</v>
      </c>
      <c r="P43" s="281"/>
      <c r="Q43" s="281"/>
      <c r="R43" s="291" t="s">
        <v>287</v>
      </c>
      <c r="S43" s="326" t="str">
        <f t="shared" si="21"/>
        <v>Non FF  21st year of service</v>
      </c>
      <c r="T43" s="322" cm="1">
        <f t="array" aca="1" ref="T43" ca="1">IF($R43="Y",VLOOKUP(S43,INDIRECT($P$1),2,0)*INDIRECT($Q$1),VLOOKUP(S43,INDIRECT($P$1),2,0))</f>
        <v>337.28542721240353</v>
      </c>
      <c r="U43" s="292">
        <f t="shared" ca="1" si="23"/>
        <v>3.0886943883919735</v>
      </c>
      <c r="V43" s="292">
        <f t="shared" ca="1" si="24"/>
        <v>4.216067840155044</v>
      </c>
      <c r="W43" s="296"/>
      <c r="Y43" s="297"/>
      <c r="Z43" s="282"/>
      <c r="AA43" s="98"/>
      <c r="AB43" s="203" t="str">
        <f t="shared" si="19"/>
        <v>Non FF  21st year of service</v>
      </c>
      <c r="AC43" s="203"/>
      <c r="AD43" s="203"/>
      <c r="AE43" s="255">
        <f t="shared" ca="1" si="22"/>
        <v>3.089</v>
      </c>
      <c r="AF43" s="255">
        <f t="shared" ca="1" si="22"/>
        <v>4.2160000000000002</v>
      </c>
    </row>
    <row r="44" spans="1:32" ht="17.25" customHeight="1">
      <c r="A44" s="56">
        <f t="shared" ca="1" si="20"/>
        <v>345.5441446797085</v>
      </c>
      <c r="B44" s="52" t="s">
        <v>176</v>
      </c>
      <c r="P44" s="281"/>
      <c r="Q44" s="281"/>
      <c r="R44" s="291" t="s">
        <v>287</v>
      </c>
      <c r="S44" s="326" t="str">
        <f t="shared" si="21"/>
        <v>Non FF  22nd year of service</v>
      </c>
      <c r="T44" s="322" cm="1">
        <f t="array" aca="1" ref="T44" ca="1">IF($R44="Y",VLOOKUP(S44,INDIRECT($P$1),2,0)*INDIRECT($Q$1),VLOOKUP(S44,INDIRECT($P$1),2,0))</f>
        <v>345.5441446797085</v>
      </c>
      <c r="U44" s="292">
        <f t="shared" ca="1" si="23"/>
        <v>3.1643236692280996</v>
      </c>
      <c r="V44" s="292">
        <f t="shared" ca="1" si="24"/>
        <v>4.3193018084963564</v>
      </c>
      <c r="W44" s="296"/>
      <c r="Y44" s="297"/>
      <c r="Z44" s="282"/>
      <c r="AA44" s="98"/>
      <c r="AB44" s="203" t="str">
        <f t="shared" si="19"/>
        <v>Non FF  22nd year of service</v>
      </c>
      <c r="AC44" s="203"/>
      <c r="AD44" s="203"/>
      <c r="AE44" s="255">
        <f t="shared" ca="1" si="22"/>
        <v>3.1640000000000001</v>
      </c>
      <c r="AF44" s="255">
        <f t="shared" ca="1" si="22"/>
        <v>4.319</v>
      </c>
    </row>
    <row r="45" spans="1:32" ht="17.25" customHeight="1">
      <c r="A45" s="56">
        <f t="shared" ca="1" si="20"/>
        <v>353.80286214701454</v>
      </c>
      <c r="B45" s="52" t="s">
        <v>177</v>
      </c>
      <c r="P45" s="281"/>
      <c r="Q45" s="281"/>
      <c r="R45" s="291" t="s">
        <v>287</v>
      </c>
      <c r="S45" s="326" t="str">
        <f t="shared" si="21"/>
        <v>Non FF  23rd year of service</v>
      </c>
      <c r="T45" s="322" cm="1">
        <f t="array" aca="1" ref="T45" ca="1">IF($R45="Y",VLOOKUP(S45,INDIRECT($P$1),2,0)*INDIRECT($Q$1),VLOOKUP(S45,INDIRECT($P$1),2,0))</f>
        <v>353.80286214701454</v>
      </c>
      <c r="U45" s="292">
        <f t="shared" ca="1" si="23"/>
        <v>3.2399529500642354</v>
      </c>
      <c r="V45" s="292">
        <f t="shared" ca="1" si="24"/>
        <v>4.4225357768376821</v>
      </c>
      <c r="W45" s="296"/>
      <c r="Y45" s="297"/>
      <c r="Z45" s="282"/>
      <c r="AA45" s="98"/>
      <c r="AB45" s="203" t="str">
        <f t="shared" si="19"/>
        <v>Non FF  23rd year of service</v>
      </c>
      <c r="AC45" s="203"/>
      <c r="AD45" s="203"/>
      <c r="AE45" s="255">
        <f t="shared" ref="AE45:AF69" ca="1" si="25">ROUND(U45,3)</f>
        <v>3.24</v>
      </c>
      <c r="AF45" s="255">
        <f t="shared" ca="1" si="25"/>
        <v>4.423</v>
      </c>
    </row>
    <row r="46" spans="1:32" ht="17.25" customHeight="1">
      <c r="A46" s="56">
        <f t="shared" ca="1" si="20"/>
        <v>362.06157961431944</v>
      </c>
      <c r="B46" s="52" t="s">
        <v>178</v>
      </c>
      <c r="P46" s="281"/>
      <c r="Q46" s="281"/>
      <c r="R46" s="291" t="s">
        <v>287</v>
      </c>
      <c r="S46" s="326" t="str">
        <f t="shared" si="21"/>
        <v>Non FF  24th year of service</v>
      </c>
      <c r="T46" s="322" cm="1">
        <f t="array" aca="1" ref="T46" ca="1">IF($R46="Y",VLOOKUP(S46,INDIRECT($P$1),2,0)*INDIRECT($Q$1),VLOOKUP(S46,INDIRECT($P$1),2,0))</f>
        <v>362.06157961431944</v>
      </c>
      <c r="U46" s="292">
        <f t="shared" ca="1" si="23"/>
        <v>3.3155822309003611</v>
      </c>
      <c r="V46" s="292">
        <f t="shared" ca="1" si="24"/>
        <v>4.5257697451789927</v>
      </c>
      <c r="W46" s="296"/>
      <c r="Y46" s="297"/>
      <c r="Z46" s="282"/>
      <c r="AA46" s="98"/>
      <c r="AB46" s="203" t="str">
        <f t="shared" si="19"/>
        <v>Non FF  24th year of service</v>
      </c>
      <c r="AC46" s="203"/>
      <c r="AD46" s="203"/>
      <c r="AE46" s="255">
        <f t="shared" ca="1" si="25"/>
        <v>3.3159999999999998</v>
      </c>
      <c r="AF46" s="255">
        <f t="shared" ca="1" si="25"/>
        <v>4.5259999999999998</v>
      </c>
    </row>
    <row r="47" spans="1:32" ht="17.25" customHeight="1">
      <c r="A47" s="56">
        <f t="shared" ca="1" si="20"/>
        <v>395.54206373537284</v>
      </c>
      <c r="B47" s="52" t="s">
        <v>179</v>
      </c>
      <c r="P47" s="281"/>
      <c r="Q47" s="281"/>
      <c r="R47" s="291" t="s">
        <v>287</v>
      </c>
      <c r="S47" s="326" t="str">
        <f t="shared" si="21"/>
        <v>Non FF  25th year of service</v>
      </c>
      <c r="T47" s="322" cm="1">
        <f t="array" aca="1" ref="T47" ca="1">IF($R47="Y",VLOOKUP(S47,INDIRECT($P$1),2,0)*INDIRECT($Q$1),VLOOKUP(S47,INDIRECT($P$1),2,0))</f>
        <v>395.54206373537284</v>
      </c>
      <c r="U47" s="292">
        <f t="shared" ca="1" si="23"/>
        <v>3.6221800708367473</v>
      </c>
      <c r="V47" s="292">
        <f t="shared" ca="1" si="24"/>
        <v>4.9442757966921604</v>
      </c>
      <c r="W47" s="296"/>
      <c r="Y47" s="297"/>
      <c r="Z47" s="282"/>
      <c r="AA47" s="98"/>
      <c r="AB47" s="203" t="str">
        <f t="shared" si="19"/>
        <v>Non FF  25th year of service</v>
      </c>
      <c r="AC47" s="203"/>
      <c r="AD47" s="203"/>
      <c r="AE47" s="255">
        <f t="shared" ca="1" si="25"/>
        <v>3.6219999999999999</v>
      </c>
      <c r="AF47" s="255">
        <f t="shared" ca="1" si="25"/>
        <v>4.944</v>
      </c>
    </row>
    <row r="48" spans="1:32">
      <c r="A48" s="317"/>
      <c r="B48" s="52"/>
      <c r="P48" s="281"/>
      <c r="Q48" s="281"/>
      <c r="R48" s="295"/>
      <c r="U48" s="298"/>
      <c r="V48" s="299"/>
      <c r="W48" s="299"/>
      <c r="Z48" s="282"/>
      <c r="AA48" s="98"/>
      <c r="AE48" s="259"/>
      <c r="AF48" s="259"/>
    </row>
    <row r="49" spans="1:32" ht="27.75" customHeight="1">
      <c r="A49" s="318" t="s">
        <v>136</v>
      </c>
      <c r="B49" s="42" t="s">
        <v>181</v>
      </c>
      <c r="P49" s="281"/>
      <c r="Q49" s="281"/>
      <c r="R49" s="295"/>
      <c r="U49" s="288" t="s">
        <v>232</v>
      </c>
      <c r="V49" s="288" t="s">
        <v>233</v>
      </c>
      <c r="W49" s="281"/>
      <c r="Z49" s="282"/>
      <c r="AA49" s="98"/>
      <c r="AB49" s="257" t="s">
        <v>297</v>
      </c>
      <c r="AC49" s="203"/>
      <c r="AD49" s="257"/>
      <c r="AE49" s="258" t="str">
        <f>U49</f>
        <v>CFH/109.2</v>
      </c>
      <c r="AF49" s="258" t="str">
        <f>V49</f>
        <v>CFI/80</v>
      </c>
    </row>
    <row r="50" spans="1:32" ht="17.25" customHeight="1">
      <c r="A50" s="56">
        <f ca="1">T50</f>
        <v>18.181061474786752</v>
      </c>
      <c r="B50" s="52" t="s">
        <v>161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160"/>
      <c r="P50" s="281"/>
      <c r="Q50" s="281"/>
      <c r="R50" s="291" t="s">
        <v>287</v>
      </c>
      <c r="S50" s="326" t="str">
        <f t="shared" ref="S50:S69" si="26">"FF "&amp;B50</f>
        <v>FF  7th year of service</v>
      </c>
      <c r="T50" s="322" cm="1">
        <f t="array" aca="1" ref="T50" ca="1">IF($R50="Y",VLOOKUP(S50,INDIRECT($P$1),2,0)*INDIRECT($Q$1),VLOOKUP(S50,INDIRECT($P$1),2,0))</f>
        <v>18.181061474786752</v>
      </c>
      <c r="U50" s="292">
        <f t="shared" ref="U50:U69" ca="1" si="27">T50/109.2</f>
        <v>0.16649323694859663</v>
      </c>
      <c r="V50" s="292">
        <f t="shared" ref="V50" ca="1" si="28">T50/80</f>
        <v>0.22726326843483441</v>
      </c>
      <c r="W50" s="296"/>
      <c r="Z50" s="282"/>
      <c r="AA50" s="98"/>
      <c r="AB50" s="203" t="str">
        <f t="shared" si="19"/>
        <v>FF  7th year of service</v>
      </c>
      <c r="AC50" s="203"/>
      <c r="AD50" s="203"/>
      <c r="AE50" s="255">
        <f t="shared" ca="1" si="25"/>
        <v>0.16600000000000001</v>
      </c>
      <c r="AF50" s="255">
        <f t="shared" ca="1" si="25"/>
        <v>0.22700000000000001</v>
      </c>
    </row>
    <row r="51" spans="1:32" ht="17.25" customHeight="1">
      <c r="A51" s="56">
        <f t="shared" ref="A51:A69" ca="1" si="29">T51</f>
        <v>25.786211372736695</v>
      </c>
      <c r="B51" s="52" t="s">
        <v>162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60"/>
      <c r="P51" s="281"/>
      <c r="Q51" s="281"/>
      <c r="R51" s="291" t="s">
        <v>287</v>
      </c>
      <c r="S51" s="326" t="str">
        <f t="shared" si="26"/>
        <v>FF  8th year of service</v>
      </c>
      <c r="T51" s="322" cm="1">
        <f t="array" aca="1" ref="T51" ca="1">IF($R51="Y",VLOOKUP(S51,INDIRECT($P$1),2,0)*INDIRECT($Q$1),VLOOKUP(S51,INDIRECT($P$1),2,0))</f>
        <v>25.786211372736695</v>
      </c>
      <c r="U51" s="292">
        <f t="shared" ca="1" si="27"/>
        <v>0.23613746678330305</v>
      </c>
      <c r="V51" s="292">
        <f t="shared" ref="V51:V69" ca="1" si="30">T51/80</f>
        <v>0.32232764215920867</v>
      </c>
      <c r="W51" s="296"/>
      <c r="Y51" s="297"/>
      <c r="Z51" s="282"/>
      <c r="AA51" s="98"/>
      <c r="AB51" s="203" t="str">
        <f t="shared" si="19"/>
        <v>FF  8th year of service</v>
      </c>
      <c r="AC51" s="203"/>
      <c r="AD51" s="203"/>
      <c r="AE51" s="255">
        <f t="shared" ca="1" si="25"/>
        <v>0.23599999999999999</v>
      </c>
      <c r="AF51" s="255">
        <f t="shared" ca="1" si="25"/>
        <v>0.32200000000000001</v>
      </c>
    </row>
    <row r="52" spans="1:32" ht="17.25" customHeight="1">
      <c r="A52" s="56">
        <f t="shared" ca="1" si="29"/>
        <v>33.391361270686744</v>
      </c>
      <c r="B52" s="52" t="s">
        <v>163</v>
      </c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160"/>
      <c r="P52" s="281"/>
      <c r="Q52" s="281"/>
      <c r="R52" s="291" t="s">
        <v>287</v>
      </c>
      <c r="S52" s="326" t="str">
        <f t="shared" si="26"/>
        <v>FF  9th year of service</v>
      </c>
      <c r="T52" s="322" cm="1">
        <f t="array" aca="1" ref="T52" ca="1">IF($R52="Y",VLOOKUP(S52,INDIRECT($P$1),2,0)*INDIRECT($Q$1),VLOOKUP(S52,INDIRECT($P$1),2,0))</f>
        <v>33.391361270686744</v>
      </c>
      <c r="U52" s="292">
        <f t="shared" ca="1" si="27"/>
        <v>0.30578169661801047</v>
      </c>
      <c r="V52" s="292">
        <f t="shared" ca="1" si="30"/>
        <v>0.41739201588358432</v>
      </c>
      <c r="W52" s="296"/>
      <c r="Y52" s="297"/>
      <c r="Z52" s="282"/>
      <c r="AA52" s="98"/>
      <c r="AB52" s="203" t="str">
        <f t="shared" si="19"/>
        <v>FF  9th year of service</v>
      </c>
      <c r="AC52" s="203"/>
      <c r="AD52" s="203"/>
      <c r="AE52" s="255">
        <f t="shared" ca="1" si="25"/>
        <v>0.30599999999999999</v>
      </c>
      <c r="AF52" s="255">
        <f t="shared" ca="1" si="25"/>
        <v>0.41699999999999998</v>
      </c>
    </row>
    <row r="53" spans="1:32" ht="17.25" customHeight="1">
      <c r="A53" s="56">
        <f t="shared" ca="1" si="29"/>
        <v>40.9965111686368</v>
      </c>
      <c r="B53" s="52" t="s">
        <v>164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160"/>
      <c r="P53" s="281"/>
      <c r="Q53" s="281"/>
      <c r="R53" s="291" t="s">
        <v>287</v>
      </c>
      <c r="S53" s="326" t="str">
        <f t="shared" si="26"/>
        <v>FF  10th year of service</v>
      </c>
      <c r="T53" s="322" cm="1">
        <f t="array" aca="1" ref="T53" ca="1">IF($R53="Y",VLOOKUP(S53,INDIRECT($P$1),2,0)*INDIRECT($Q$1),VLOOKUP(S53,INDIRECT($P$1),2,0))</f>
        <v>40.9965111686368</v>
      </c>
      <c r="U53" s="292">
        <f t="shared" ca="1" si="27"/>
        <v>0.37542592645271794</v>
      </c>
      <c r="V53" s="292">
        <f t="shared" ca="1" si="30"/>
        <v>0.51245638960796003</v>
      </c>
      <c r="W53" s="296"/>
      <c r="Y53" s="297"/>
      <c r="Z53" s="282"/>
      <c r="AA53" s="98"/>
      <c r="AB53" s="203" t="str">
        <f t="shared" si="19"/>
        <v>FF  10th year of service</v>
      </c>
      <c r="AC53" s="203"/>
      <c r="AD53" s="203"/>
      <c r="AE53" s="255">
        <f t="shared" ca="1" si="25"/>
        <v>0.375</v>
      </c>
      <c r="AF53" s="255">
        <f t="shared" ca="1" si="25"/>
        <v>0.51200000000000001</v>
      </c>
    </row>
    <row r="54" spans="1:32" ht="17.25" customHeight="1">
      <c r="A54" s="56">
        <f t="shared" ca="1" si="29"/>
        <v>48.601661066586757</v>
      </c>
      <c r="B54" s="52" t="s">
        <v>165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160"/>
      <c r="P54" s="281"/>
      <c r="Q54" s="281"/>
      <c r="R54" s="291" t="s">
        <v>287</v>
      </c>
      <c r="S54" s="326" t="str">
        <f t="shared" si="26"/>
        <v>FF  11th year of service</v>
      </c>
      <c r="T54" s="322" cm="1">
        <f t="array" aca="1" ref="T54" ca="1">IF($R54="Y",VLOOKUP(S54,INDIRECT($P$1),2,0)*INDIRECT($Q$1),VLOOKUP(S54,INDIRECT($P$1),2,0))</f>
        <v>48.601661066586757</v>
      </c>
      <c r="U54" s="292">
        <f t="shared" ca="1" si="27"/>
        <v>0.44507015628742452</v>
      </c>
      <c r="V54" s="292">
        <f t="shared" ca="1" si="30"/>
        <v>0.60752076333233451</v>
      </c>
      <c r="W54" s="296"/>
      <c r="Y54" s="297"/>
      <c r="Z54" s="282"/>
      <c r="AA54" s="98"/>
      <c r="AB54" s="203" t="str">
        <f t="shared" si="19"/>
        <v>FF  11th year of service</v>
      </c>
      <c r="AC54" s="203"/>
      <c r="AD54" s="203"/>
      <c r="AE54" s="255">
        <f t="shared" ca="1" si="25"/>
        <v>0.44500000000000001</v>
      </c>
      <c r="AF54" s="255">
        <f t="shared" ca="1" si="25"/>
        <v>0.60799999999999998</v>
      </c>
    </row>
    <row r="55" spans="1:32" ht="17.25" customHeight="1">
      <c r="A55" s="56">
        <f t="shared" ca="1" si="29"/>
        <v>146.8893112125543</v>
      </c>
      <c r="B55" s="52" t="s">
        <v>166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160"/>
      <c r="P55" s="281"/>
      <c r="Q55" s="281"/>
      <c r="R55" s="291" t="s">
        <v>287</v>
      </c>
      <c r="S55" s="326" t="str">
        <f t="shared" si="26"/>
        <v>FF  12th year of service</v>
      </c>
      <c r="T55" s="322" cm="1">
        <f t="array" aca="1" ref="T55" ca="1">IF($R55="Y",VLOOKUP(S55,INDIRECT($P$1),2,0)*INDIRECT($Q$1),VLOOKUP(S55,INDIRECT($P$1),2,0))</f>
        <v>146.8893112125543</v>
      </c>
      <c r="U55" s="292">
        <f t="shared" ca="1" si="27"/>
        <v>1.3451402125691785</v>
      </c>
      <c r="V55" s="292">
        <f t="shared" ca="1" si="30"/>
        <v>1.8361163901569288</v>
      </c>
      <c r="W55" s="296"/>
      <c r="Y55" s="297"/>
      <c r="Z55" s="282"/>
      <c r="AA55" s="98"/>
      <c r="AB55" s="203" t="str">
        <f t="shared" si="19"/>
        <v>FF  12th year of service</v>
      </c>
      <c r="AC55" s="203"/>
      <c r="AD55" s="203"/>
      <c r="AE55" s="255">
        <f t="shared" ca="1" si="25"/>
        <v>1.345</v>
      </c>
      <c r="AF55" s="255">
        <f t="shared" ca="1" si="25"/>
        <v>1.8360000000000001</v>
      </c>
    </row>
    <row r="56" spans="1:32" ht="17.25" customHeight="1">
      <c r="A56" s="56">
        <f t="shared" ca="1" si="29"/>
        <v>155.14802867985924</v>
      </c>
      <c r="B56" s="52" t="s">
        <v>167</v>
      </c>
      <c r="P56" s="281"/>
      <c r="Q56" s="281"/>
      <c r="R56" s="291" t="s">
        <v>287</v>
      </c>
      <c r="S56" s="326" t="str">
        <f t="shared" si="26"/>
        <v>FF  13th year of service</v>
      </c>
      <c r="T56" s="322" cm="1">
        <f t="array" aca="1" ref="T56" ca="1">IF($R56="Y",VLOOKUP(S56,INDIRECT($P$1),2,0)*INDIRECT($Q$1),VLOOKUP(S56,INDIRECT($P$1),2,0))</f>
        <v>155.14802867985924</v>
      </c>
      <c r="U56" s="292">
        <f t="shared" ca="1" si="27"/>
        <v>1.4207694934053043</v>
      </c>
      <c r="V56" s="292">
        <f t="shared" ca="1" si="30"/>
        <v>1.9393503584982406</v>
      </c>
      <c r="W56" s="296"/>
      <c r="Y56" s="297"/>
      <c r="Z56" s="282"/>
      <c r="AA56" s="98"/>
      <c r="AB56" s="203" t="str">
        <f t="shared" si="19"/>
        <v>FF  13th year of service</v>
      </c>
      <c r="AC56" s="203"/>
      <c r="AD56" s="203"/>
      <c r="AE56" s="255">
        <f t="shared" ca="1" si="25"/>
        <v>1.421</v>
      </c>
      <c r="AF56" s="255">
        <f t="shared" ca="1" si="25"/>
        <v>1.9390000000000001</v>
      </c>
    </row>
    <row r="57" spans="1:32" ht="17.25" customHeight="1">
      <c r="A57" s="56">
        <f t="shared" ca="1" si="29"/>
        <v>163.39189233876954</v>
      </c>
      <c r="B57" s="52" t="s">
        <v>168</v>
      </c>
      <c r="P57" s="281"/>
      <c r="Q57" s="281"/>
      <c r="R57" s="291" t="s">
        <v>287</v>
      </c>
      <c r="S57" s="326" t="str">
        <f t="shared" si="26"/>
        <v>FF  14th year of service</v>
      </c>
      <c r="T57" s="322" cm="1">
        <f t="array" aca="1" ref="T57" ca="1">IF($R57="Y",VLOOKUP(S57,INDIRECT($P$1),2,0)*INDIRECT($Q$1),VLOOKUP(S57,INDIRECT($P$1),2,0))</f>
        <v>163.39189233876954</v>
      </c>
      <c r="U57" s="292">
        <f t="shared" ca="1" si="27"/>
        <v>1.4962627503550323</v>
      </c>
      <c r="V57" s="292">
        <f t="shared" ca="1" si="30"/>
        <v>2.0423986542346193</v>
      </c>
      <c r="W57" s="296"/>
      <c r="Y57" s="297"/>
      <c r="Z57" s="282"/>
      <c r="AA57" s="98"/>
      <c r="AB57" s="203" t="str">
        <f t="shared" si="19"/>
        <v>FF  14th year of service</v>
      </c>
      <c r="AC57" s="203"/>
      <c r="AD57" s="203"/>
      <c r="AE57" s="255">
        <f t="shared" ca="1" si="25"/>
        <v>1.496</v>
      </c>
      <c r="AF57" s="255">
        <f t="shared" ca="1" si="25"/>
        <v>2.0419999999999998</v>
      </c>
    </row>
    <row r="58" spans="1:32" ht="17.25" customHeight="1">
      <c r="A58" s="56">
        <f t="shared" ca="1" si="29"/>
        <v>213.71659517911067</v>
      </c>
      <c r="B58" s="52" t="s">
        <v>169</v>
      </c>
      <c r="P58" s="281"/>
      <c r="Q58" s="281"/>
      <c r="R58" s="291" t="s">
        <v>287</v>
      </c>
      <c r="S58" s="326" t="str">
        <f t="shared" si="26"/>
        <v>FF  15th year of service</v>
      </c>
      <c r="T58" s="322" cm="1">
        <f t="array" aca="1" ref="T58" ca="1">IF($R58="Y",VLOOKUP(S58,INDIRECT($P$1),2,0)*INDIRECT($Q$1),VLOOKUP(S58,INDIRECT($P$1),2,0))</f>
        <v>213.71659517911067</v>
      </c>
      <c r="U58" s="292">
        <f t="shared" ca="1" si="27"/>
        <v>1.9571116774643833</v>
      </c>
      <c r="V58" s="292">
        <f t="shared" ca="1" si="30"/>
        <v>2.6714574397388833</v>
      </c>
      <c r="W58" s="296"/>
      <c r="Y58" s="297"/>
      <c r="Z58" s="282"/>
      <c r="AA58" s="98"/>
      <c r="AB58" s="203" t="str">
        <f t="shared" si="19"/>
        <v>FF  15th year of service</v>
      </c>
      <c r="AC58" s="203"/>
      <c r="AD58" s="203"/>
      <c r="AE58" s="255">
        <f t="shared" ca="1" si="25"/>
        <v>1.9570000000000001</v>
      </c>
      <c r="AF58" s="255">
        <f t="shared" ca="1" si="25"/>
        <v>2.6709999999999998</v>
      </c>
    </row>
    <row r="59" spans="1:32" ht="17.25" customHeight="1">
      <c r="A59" s="56">
        <f t="shared" ca="1" si="29"/>
        <v>221.960458838021</v>
      </c>
      <c r="B59" s="52" t="s">
        <v>170</v>
      </c>
      <c r="P59" s="281"/>
      <c r="Q59" s="281"/>
      <c r="R59" s="291" t="s">
        <v>287</v>
      </c>
      <c r="S59" s="326" t="str">
        <f t="shared" si="26"/>
        <v>FF  16th year of service</v>
      </c>
      <c r="T59" s="322" cm="1">
        <f t="array" aca="1" ref="T59" ca="1">IF($R59="Y",VLOOKUP(S59,INDIRECT($P$1),2,0)*INDIRECT($Q$1),VLOOKUP(S59,INDIRECT($P$1),2,0))</f>
        <v>221.960458838021</v>
      </c>
      <c r="U59" s="292">
        <f t="shared" ca="1" si="27"/>
        <v>2.0326049344141115</v>
      </c>
      <c r="V59" s="292">
        <f t="shared" ca="1" si="30"/>
        <v>2.7745057354752625</v>
      </c>
      <c r="W59" s="296"/>
      <c r="Y59" s="297"/>
      <c r="Z59" s="282"/>
      <c r="AA59" s="98"/>
      <c r="AB59" s="203" t="str">
        <f t="shared" si="19"/>
        <v>FF  16th year of service</v>
      </c>
      <c r="AC59" s="203"/>
      <c r="AD59" s="203"/>
      <c r="AE59" s="255">
        <f t="shared" ca="1" si="25"/>
        <v>2.0329999999999999</v>
      </c>
      <c r="AF59" s="255">
        <f t="shared" ca="1" si="25"/>
        <v>2.7749999999999999</v>
      </c>
    </row>
    <row r="60" spans="1:32" ht="17.25" customHeight="1">
      <c r="A60" s="56">
        <f t="shared" ca="1" si="29"/>
        <v>230.21917630532596</v>
      </c>
      <c r="B60" s="52" t="s">
        <v>171</v>
      </c>
      <c r="P60" s="281"/>
      <c r="Q60" s="281"/>
      <c r="R60" s="291" t="s">
        <v>287</v>
      </c>
      <c r="S60" s="326" t="str">
        <f t="shared" si="26"/>
        <v>FF  17th year of service</v>
      </c>
      <c r="T60" s="322" cm="1">
        <f t="array" aca="1" ref="T60" ca="1">IF($R60="Y",VLOOKUP(S60,INDIRECT($P$1),2,0)*INDIRECT($Q$1),VLOOKUP(S60,INDIRECT($P$1),2,0))</f>
        <v>230.21917630532596</v>
      </c>
      <c r="U60" s="292">
        <f t="shared" ca="1" si="27"/>
        <v>2.1082342152502376</v>
      </c>
      <c r="V60" s="292">
        <f t="shared" ca="1" si="30"/>
        <v>2.8777397038165744</v>
      </c>
      <c r="W60" s="296"/>
      <c r="Y60" s="297"/>
      <c r="Z60" s="282"/>
      <c r="AA60" s="98"/>
      <c r="AB60" s="203" t="str">
        <f t="shared" si="19"/>
        <v>FF  17th year of service</v>
      </c>
      <c r="AC60" s="203"/>
      <c r="AD60" s="203"/>
      <c r="AE60" s="255">
        <f t="shared" ca="1" si="25"/>
        <v>2.1080000000000001</v>
      </c>
      <c r="AF60" s="255">
        <f t="shared" ca="1" si="25"/>
        <v>2.8780000000000001</v>
      </c>
    </row>
    <row r="61" spans="1:32" ht="17.25" customHeight="1">
      <c r="A61" s="56">
        <f t="shared" ca="1" si="29"/>
        <v>238.47789377263206</v>
      </c>
      <c r="B61" s="52" t="s">
        <v>172</v>
      </c>
      <c r="P61" s="281"/>
      <c r="Q61" s="281"/>
      <c r="R61" s="291" t="s">
        <v>287</v>
      </c>
      <c r="S61" s="326" t="str">
        <f t="shared" si="26"/>
        <v>FF  18th year of service</v>
      </c>
      <c r="T61" s="322" cm="1">
        <f t="array" aca="1" ref="T61" ca="1">IF($R61="Y",VLOOKUP(S61,INDIRECT($P$1),2,0)*INDIRECT($Q$1),VLOOKUP(S61,INDIRECT($P$1),2,0))</f>
        <v>238.47789377263206</v>
      </c>
      <c r="U61" s="292">
        <f t="shared" ca="1" si="27"/>
        <v>2.1838634960863743</v>
      </c>
      <c r="V61" s="292">
        <f t="shared" ca="1" si="30"/>
        <v>2.9809736721579005</v>
      </c>
      <c r="W61" s="296"/>
      <c r="Y61" s="297"/>
      <c r="Z61" s="282"/>
      <c r="AA61" s="98"/>
      <c r="AB61" s="203" t="str">
        <f t="shared" si="19"/>
        <v>FF  18th year of service</v>
      </c>
      <c r="AC61" s="203"/>
      <c r="AD61" s="203"/>
      <c r="AE61" s="255">
        <f t="shared" ca="1" si="25"/>
        <v>2.1840000000000002</v>
      </c>
      <c r="AF61" s="255">
        <f t="shared" ca="1" si="25"/>
        <v>2.9809999999999999</v>
      </c>
    </row>
    <row r="62" spans="1:32" ht="17.25" customHeight="1">
      <c r="A62" s="56">
        <f t="shared" ca="1" si="29"/>
        <v>261.88749580225885</v>
      </c>
      <c r="B62" s="52" t="s">
        <v>173</v>
      </c>
      <c r="P62" s="281"/>
      <c r="Q62" s="281"/>
      <c r="R62" s="291" t="s">
        <v>287</v>
      </c>
      <c r="S62" s="326" t="str">
        <f t="shared" si="26"/>
        <v>FF  19th year of service</v>
      </c>
      <c r="T62" s="322" cm="1">
        <f t="array" aca="1" ref="T62" ca="1">IF($R62="Y",VLOOKUP(S62,INDIRECT($P$1),2,0)*INDIRECT($Q$1),VLOOKUP(S62,INDIRECT($P$1),2,0))</f>
        <v>261.88749580225885</v>
      </c>
      <c r="U62" s="292">
        <f t="shared" ca="1" si="27"/>
        <v>2.3982371410463266</v>
      </c>
      <c r="V62" s="292">
        <f t="shared" ca="1" si="30"/>
        <v>3.2735936975282356</v>
      </c>
      <c r="W62" s="296"/>
      <c r="Y62" s="297"/>
      <c r="Z62" s="282"/>
      <c r="AA62" s="98"/>
      <c r="AB62" s="203" t="str">
        <f t="shared" si="19"/>
        <v>FF  19th year of service</v>
      </c>
      <c r="AC62" s="203"/>
      <c r="AD62" s="203"/>
      <c r="AE62" s="255">
        <f t="shared" ca="1" si="25"/>
        <v>2.3980000000000001</v>
      </c>
      <c r="AF62" s="255">
        <f t="shared" ca="1" si="25"/>
        <v>3.274</v>
      </c>
    </row>
    <row r="63" spans="1:32" ht="17.25" customHeight="1">
      <c r="A63" s="56">
        <f t="shared" ca="1" si="29"/>
        <v>329.02670974509857</v>
      </c>
      <c r="B63" s="52" t="s">
        <v>174</v>
      </c>
      <c r="P63" s="281"/>
      <c r="Q63" s="281"/>
      <c r="R63" s="291" t="s">
        <v>287</v>
      </c>
      <c r="S63" s="326" t="str">
        <f t="shared" si="26"/>
        <v>FF  20th year of service</v>
      </c>
      <c r="T63" s="322" cm="1">
        <f t="array" aca="1" ref="T63" ca="1">IF($R63="Y",VLOOKUP(S63,INDIRECT($P$1),2,0)*INDIRECT($Q$1),VLOOKUP(S63,INDIRECT($P$1),2,0))</f>
        <v>329.02670974509857</v>
      </c>
      <c r="U63" s="292">
        <f t="shared" ca="1" si="27"/>
        <v>3.0130651075558474</v>
      </c>
      <c r="V63" s="292">
        <f t="shared" ca="1" si="30"/>
        <v>4.1128338718137325</v>
      </c>
      <c r="W63" s="296"/>
      <c r="Y63" s="297"/>
      <c r="Z63" s="282"/>
      <c r="AA63" s="98"/>
      <c r="AB63" s="203" t="str">
        <f t="shared" si="19"/>
        <v>FF  20th year of service</v>
      </c>
      <c r="AC63" s="203"/>
      <c r="AD63" s="203"/>
      <c r="AE63" s="255">
        <f t="shared" ca="1" si="25"/>
        <v>3.0129999999999999</v>
      </c>
      <c r="AF63" s="255">
        <f t="shared" ca="1" si="25"/>
        <v>4.1130000000000004</v>
      </c>
    </row>
    <row r="64" spans="1:32" ht="17.25" customHeight="1">
      <c r="A64" s="56">
        <f t="shared" ca="1" si="29"/>
        <v>387.58305024828155</v>
      </c>
      <c r="B64" s="52" t="s">
        <v>175</v>
      </c>
      <c r="P64" s="281"/>
      <c r="Q64" s="281"/>
      <c r="R64" s="291" t="s">
        <v>287</v>
      </c>
      <c r="S64" s="326" t="str">
        <f t="shared" si="26"/>
        <v>FF  21st year of service</v>
      </c>
      <c r="T64" s="322" cm="1">
        <f t="array" aca="1" ref="T64" ca="1">IF($R64="Y",VLOOKUP(S64,INDIRECT($P$1),2,0)*INDIRECT($Q$1),VLOOKUP(S64,INDIRECT($P$1),2,0))</f>
        <v>387.58305024828155</v>
      </c>
      <c r="U64" s="292">
        <f t="shared" ca="1" si="27"/>
        <v>3.54929533194397</v>
      </c>
      <c r="V64" s="292">
        <f t="shared" ca="1" si="30"/>
        <v>4.8447881281035192</v>
      </c>
      <c r="W64" s="296"/>
      <c r="Y64" s="297"/>
      <c r="Z64" s="282"/>
      <c r="AA64" s="98"/>
      <c r="AB64" s="203" t="str">
        <f t="shared" si="19"/>
        <v>FF  21st year of service</v>
      </c>
      <c r="AC64" s="203"/>
      <c r="AD64" s="203"/>
      <c r="AE64" s="255">
        <f t="shared" ca="1" si="25"/>
        <v>3.5489999999999999</v>
      </c>
      <c r="AF64" s="255">
        <f t="shared" ca="1" si="25"/>
        <v>4.8449999999999998</v>
      </c>
    </row>
    <row r="65" spans="1:36" ht="17.25" customHeight="1">
      <c r="A65" s="56">
        <f t="shared" ca="1" si="29"/>
        <v>395.84176771558668</v>
      </c>
      <c r="B65" s="52" t="s">
        <v>176</v>
      </c>
      <c r="P65" s="281"/>
      <c r="Q65" s="281"/>
      <c r="R65" s="291" t="s">
        <v>287</v>
      </c>
      <c r="S65" s="326" t="str">
        <f t="shared" si="26"/>
        <v>FF  22nd year of service</v>
      </c>
      <c r="T65" s="322" cm="1">
        <f t="array" aca="1" ref="T65" ca="1">IF($R65="Y",VLOOKUP(S65,INDIRECT($P$1),2,0)*INDIRECT($Q$1),VLOOKUP(S65,INDIRECT($P$1),2,0))</f>
        <v>395.84176771558668</v>
      </c>
      <c r="U65" s="292">
        <f t="shared" ca="1" si="27"/>
        <v>3.6249246127800978</v>
      </c>
      <c r="V65" s="292">
        <f t="shared" ca="1" si="30"/>
        <v>4.9480220964448334</v>
      </c>
      <c r="W65" s="296"/>
      <c r="Y65" s="297"/>
      <c r="Z65" s="282"/>
      <c r="AA65" s="98"/>
      <c r="AB65" s="203" t="str">
        <f t="shared" si="19"/>
        <v>FF  22nd year of service</v>
      </c>
      <c r="AC65" s="203"/>
      <c r="AD65" s="203"/>
      <c r="AE65" s="255">
        <f t="shared" ca="1" si="25"/>
        <v>3.625</v>
      </c>
      <c r="AF65" s="255">
        <f t="shared" ca="1" si="25"/>
        <v>4.9480000000000004</v>
      </c>
    </row>
    <row r="66" spans="1:36" ht="17.25" customHeight="1">
      <c r="A66" s="56">
        <f t="shared" ca="1" si="29"/>
        <v>404.10048518289182</v>
      </c>
      <c r="B66" s="52" t="s">
        <v>177</v>
      </c>
      <c r="P66" s="281"/>
      <c r="Q66" s="281"/>
      <c r="R66" s="291" t="s">
        <v>287</v>
      </c>
      <c r="S66" s="326" t="str">
        <f t="shared" si="26"/>
        <v>FF  23rd year of service</v>
      </c>
      <c r="T66" s="322" cm="1">
        <f t="array" aca="1" ref="T66" ca="1">IF($R66="Y",VLOOKUP(S66,INDIRECT($P$1),2,0)*INDIRECT($Q$1),VLOOKUP(S66,INDIRECT($P$1),2,0))</f>
        <v>404.10048518289182</v>
      </c>
      <c r="U66" s="292">
        <f t="shared" ca="1" si="27"/>
        <v>3.7005538936162252</v>
      </c>
      <c r="V66" s="292">
        <f t="shared" ca="1" si="30"/>
        <v>5.0512560647861475</v>
      </c>
      <c r="W66" s="296"/>
      <c r="Y66" s="297"/>
      <c r="Z66" s="282"/>
      <c r="AA66" s="98"/>
      <c r="AB66" s="203" t="str">
        <f t="shared" si="19"/>
        <v>FF  23rd year of service</v>
      </c>
      <c r="AC66" s="203"/>
      <c r="AD66" s="203"/>
      <c r="AE66" s="255">
        <f t="shared" ca="1" si="25"/>
        <v>3.7010000000000001</v>
      </c>
      <c r="AF66" s="255">
        <f t="shared" ca="1" si="25"/>
        <v>5.0510000000000002</v>
      </c>
    </row>
    <row r="67" spans="1:36" ht="17.25" customHeight="1">
      <c r="A67" s="56">
        <f t="shared" ca="1" si="29"/>
        <v>412.35920265019701</v>
      </c>
      <c r="B67" s="52" t="s">
        <v>178</v>
      </c>
      <c r="P67" s="281"/>
      <c r="Q67" s="281"/>
      <c r="R67" s="291" t="s">
        <v>287</v>
      </c>
      <c r="S67" s="326" t="str">
        <f t="shared" si="26"/>
        <v>FF  24th year of service</v>
      </c>
      <c r="T67" s="322" cm="1">
        <f t="array" aca="1" ref="T67" ca="1">IF($R67="Y",VLOOKUP(S67,INDIRECT($P$1),2,0)*INDIRECT($Q$1),VLOOKUP(S67,INDIRECT($P$1),2,0))</f>
        <v>412.35920265019701</v>
      </c>
      <c r="U67" s="292">
        <f t="shared" ca="1" si="27"/>
        <v>3.7761831744523535</v>
      </c>
      <c r="V67" s="292">
        <f t="shared" ca="1" si="30"/>
        <v>5.1544900331274626</v>
      </c>
      <c r="W67" s="296"/>
      <c r="Y67" s="297"/>
      <c r="Z67" s="282"/>
      <c r="AA67" s="98"/>
      <c r="AB67" s="203" t="str">
        <f t="shared" si="19"/>
        <v>FF  24th year of service</v>
      </c>
      <c r="AC67" s="203"/>
      <c r="AD67" s="203"/>
      <c r="AE67" s="255">
        <f t="shared" ca="1" si="25"/>
        <v>3.7759999999999998</v>
      </c>
      <c r="AF67" s="255">
        <f t="shared" ca="1" si="25"/>
        <v>5.1539999999999999</v>
      </c>
    </row>
    <row r="68" spans="1:36" ht="17.25" customHeight="1">
      <c r="A68" s="56">
        <f t="shared" ca="1" si="29"/>
        <v>445.8396867712504</v>
      </c>
      <c r="B68" s="52" t="s">
        <v>179</v>
      </c>
      <c r="P68" s="281"/>
      <c r="Q68" s="281"/>
      <c r="R68" s="291" t="s">
        <v>287</v>
      </c>
      <c r="S68" s="326" t="str">
        <f t="shared" si="26"/>
        <v>FF  25th year of service</v>
      </c>
      <c r="T68" s="322" cm="1">
        <f t="array" aca="1" ref="T68" ca="1">IF($R68="Y",VLOOKUP(S68,INDIRECT($P$1),2,0)*INDIRECT($Q$1),VLOOKUP(S68,INDIRECT($P$1),2,0))</f>
        <v>445.8396867712504</v>
      </c>
      <c r="U68" s="292">
        <f t="shared" ca="1" si="27"/>
        <v>4.0827810143887397</v>
      </c>
      <c r="V68" s="292">
        <f t="shared" ca="1" si="30"/>
        <v>5.5729960846406303</v>
      </c>
      <c r="W68" s="296"/>
      <c r="Y68" s="297"/>
      <c r="Z68" s="282"/>
      <c r="AA68" s="98"/>
      <c r="AB68" s="203" t="str">
        <f t="shared" si="19"/>
        <v>FF  25th year of service</v>
      </c>
      <c r="AC68" s="203"/>
      <c r="AD68" s="203"/>
      <c r="AE68" s="255">
        <f t="shared" ca="1" si="25"/>
        <v>4.0830000000000002</v>
      </c>
      <c r="AF68" s="255">
        <f t="shared" ca="1" si="25"/>
        <v>5.5730000000000004</v>
      </c>
    </row>
    <row r="69" spans="1:36" ht="17.25" customHeight="1">
      <c r="A69" s="56">
        <f t="shared" ca="1" si="29"/>
        <v>510.69019594242314</v>
      </c>
      <c r="B69" s="52" t="s">
        <v>180</v>
      </c>
      <c r="P69" s="281"/>
      <c r="Q69" s="281"/>
      <c r="R69" s="291" t="s">
        <v>287</v>
      </c>
      <c r="S69" s="326" t="str">
        <f t="shared" si="26"/>
        <v>FF 26th year of service</v>
      </c>
      <c r="T69" s="322" cm="1">
        <f t="array" aca="1" ref="T69" ca="1">IF($R69="Y",VLOOKUP(S69,INDIRECT($P$1),2,0)*INDIRECT($Q$1),VLOOKUP(S69,INDIRECT($P$1),2,0))</f>
        <v>510.69019594242314</v>
      </c>
      <c r="U69" s="292">
        <f t="shared" ca="1" si="27"/>
        <v>4.6766501459928858</v>
      </c>
      <c r="V69" s="292">
        <f t="shared" ca="1" si="30"/>
        <v>6.3836274492802891</v>
      </c>
      <c r="W69" s="296"/>
      <c r="Y69" s="297"/>
      <c r="Z69" s="282"/>
      <c r="AA69" s="98"/>
      <c r="AB69" s="203" t="str">
        <f t="shared" si="19"/>
        <v>FF 26th year of service</v>
      </c>
      <c r="AC69" s="203"/>
      <c r="AD69" s="203"/>
      <c r="AE69" s="255">
        <f t="shared" ca="1" si="25"/>
        <v>4.6769999999999996</v>
      </c>
      <c r="AF69" s="255">
        <f t="shared" ca="1" si="25"/>
        <v>6.3840000000000003</v>
      </c>
    </row>
    <row r="70" spans="1:36" s="98" customFormat="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158"/>
      <c r="O70" s="281"/>
      <c r="P70" s="283"/>
      <c r="Q70" s="282"/>
      <c r="R70" s="282"/>
      <c r="S70" s="285"/>
      <c r="T70" s="282"/>
      <c r="U70" s="282"/>
      <c r="V70" s="282"/>
      <c r="W70" s="282"/>
      <c r="X70" s="282"/>
      <c r="Y70" s="282"/>
      <c r="Z70" s="286"/>
      <c r="AB70" s="256"/>
      <c r="AC70" s="256"/>
      <c r="AD70" s="256"/>
      <c r="AE70" s="256"/>
      <c r="AF70" s="256"/>
      <c r="AG70" s="256"/>
      <c r="AH70" s="256"/>
      <c r="AI70" s="256"/>
      <c r="AJ70" s="256"/>
    </row>
    <row r="71" spans="1:36" s="98" customFormat="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158"/>
      <c r="O71" s="281"/>
      <c r="P71" s="283"/>
      <c r="Q71" s="282"/>
      <c r="R71" s="282"/>
      <c r="S71" s="285"/>
      <c r="T71" s="282"/>
      <c r="U71" s="282"/>
      <c r="V71" s="282"/>
      <c r="W71" s="282"/>
      <c r="X71" s="282"/>
      <c r="Y71" s="282"/>
      <c r="Z71" s="286"/>
      <c r="AB71" s="256"/>
      <c r="AC71" s="256"/>
      <c r="AD71" s="256"/>
      <c r="AE71" s="256"/>
      <c r="AF71" s="256"/>
      <c r="AG71" s="256"/>
      <c r="AH71" s="256"/>
      <c r="AI71" s="256"/>
      <c r="AJ71" s="256"/>
    </row>
    <row r="72" spans="1:36" s="98" customFormat="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158"/>
      <c r="O72" s="281"/>
      <c r="P72" s="283"/>
      <c r="Q72" s="282"/>
      <c r="R72" s="282"/>
      <c r="S72" s="285"/>
      <c r="T72" s="282"/>
      <c r="U72" s="282"/>
      <c r="V72" s="282"/>
      <c r="W72" s="282"/>
      <c r="X72" s="282"/>
      <c r="Y72" s="282"/>
      <c r="Z72" s="286"/>
      <c r="AB72" s="256"/>
      <c r="AC72" s="256"/>
      <c r="AD72" s="256"/>
      <c r="AE72" s="256"/>
      <c r="AF72" s="256"/>
      <c r="AG72" s="256"/>
      <c r="AH72" s="256"/>
      <c r="AI72" s="256"/>
      <c r="AJ72" s="256"/>
    </row>
    <row r="73" spans="1:36" s="98" customFormat="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158"/>
      <c r="O73" s="281"/>
      <c r="P73" s="283"/>
      <c r="Q73" s="282"/>
      <c r="R73" s="282"/>
      <c r="S73" s="285"/>
      <c r="T73" s="282"/>
      <c r="U73" s="282"/>
      <c r="V73" s="282"/>
      <c r="W73" s="282"/>
      <c r="X73" s="282"/>
      <c r="Y73" s="282"/>
      <c r="Z73" s="286"/>
      <c r="AB73" s="256"/>
      <c r="AC73" s="256"/>
      <c r="AD73" s="256"/>
      <c r="AE73" s="256"/>
      <c r="AF73" s="256"/>
      <c r="AG73" s="256"/>
      <c r="AH73" s="256"/>
      <c r="AI73" s="256"/>
      <c r="AJ73" s="256"/>
    </row>
    <row r="74" spans="1:36" s="98" customFormat="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158"/>
      <c r="O74" s="281"/>
      <c r="P74" s="283"/>
      <c r="Q74" s="282"/>
      <c r="R74" s="282"/>
      <c r="S74" s="285"/>
      <c r="T74" s="282"/>
      <c r="U74" s="282"/>
      <c r="V74" s="282"/>
      <c r="W74" s="282"/>
      <c r="X74" s="282"/>
      <c r="Y74" s="282"/>
      <c r="Z74" s="286"/>
      <c r="AB74" s="256"/>
      <c r="AC74" s="256"/>
      <c r="AD74" s="256"/>
      <c r="AE74" s="256"/>
      <c r="AF74" s="256"/>
      <c r="AG74" s="256"/>
      <c r="AH74" s="256"/>
      <c r="AI74" s="256"/>
      <c r="AJ74" s="256"/>
    </row>
    <row r="75" spans="1:36" s="98" customFormat="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158"/>
      <c r="O75" s="281"/>
      <c r="P75" s="283"/>
      <c r="Q75" s="282"/>
      <c r="R75" s="282"/>
      <c r="S75" s="285"/>
      <c r="T75" s="282"/>
      <c r="U75" s="282"/>
      <c r="V75" s="282"/>
      <c r="W75" s="282"/>
      <c r="X75" s="282"/>
      <c r="Y75" s="282"/>
      <c r="Z75" s="286"/>
      <c r="AB75" s="256"/>
      <c r="AC75" s="256"/>
      <c r="AD75" s="256"/>
      <c r="AE75" s="256"/>
      <c r="AF75" s="256"/>
      <c r="AG75" s="256"/>
      <c r="AH75" s="256"/>
      <c r="AI75" s="256"/>
      <c r="AJ75" s="256"/>
    </row>
    <row r="76" spans="1:36" s="98" customFormat="1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158"/>
      <c r="O76" s="281"/>
      <c r="P76" s="283"/>
      <c r="Q76" s="282"/>
      <c r="R76" s="282"/>
      <c r="S76" s="285"/>
      <c r="T76" s="282"/>
      <c r="U76" s="282"/>
      <c r="V76" s="282"/>
      <c r="W76" s="282"/>
      <c r="X76" s="282"/>
      <c r="Y76" s="282"/>
      <c r="Z76" s="286"/>
      <c r="AB76" s="256"/>
      <c r="AC76" s="256"/>
      <c r="AD76" s="256"/>
      <c r="AE76" s="256"/>
      <c r="AF76" s="256"/>
      <c r="AG76" s="256"/>
      <c r="AH76" s="256"/>
      <c r="AI76" s="256"/>
      <c r="AJ76" s="256"/>
    </row>
    <row r="77" spans="1:36" s="98" customFormat="1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158"/>
      <c r="O77" s="281"/>
      <c r="P77" s="283"/>
      <c r="Q77" s="282"/>
      <c r="R77" s="282"/>
      <c r="S77" s="285"/>
      <c r="T77" s="282"/>
      <c r="U77" s="282"/>
      <c r="V77" s="282"/>
      <c r="W77" s="282"/>
      <c r="X77" s="282"/>
      <c r="Y77" s="282"/>
      <c r="Z77" s="286"/>
      <c r="AB77" s="256"/>
      <c r="AC77" s="256"/>
      <c r="AD77" s="256"/>
      <c r="AE77" s="256"/>
      <c r="AF77" s="256"/>
      <c r="AG77" s="256"/>
      <c r="AH77" s="256"/>
      <c r="AI77" s="256"/>
      <c r="AJ77" s="256"/>
    </row>
    <row r="78" spans="1:36" s="98" customFormat="1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158"/>
      <c r="O78" s="281"/>
      <c r="P78" s="283"/>
      <c r="Q78" s="282"/>
      <c r="R78" s="282"/>
      <c r="S78" s="285"/>
      <c r="T78" s="282"/>
      <c r="U78" s="282"/>
      <c r="V78" s="282"/>
      <c r="W78" s="282"/>
      <c r="X78" s="282"/>
      <c r="Y78" s="282"/>
      <c r="Z78" s="286"/>
      <c r="AB78" s="256"/>
      <c r="AC78" s="256"/>
      <c r="AD78" s="256"/>
      <c r="AE78" s="256"/>
      <c r="AF78" s="256"/>
      <c r="AG78" s="256"/>
      <c r="AH78" s="256"/>
      <c r="AI78" s="256"/>
      <c r="AJ78" s="256"/>
    </row>
    <row r="79" spans="1:36" s="98" customFormat="1">
      <c r="A79" s="42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158"/>
      <c r="O79" s="281"/>
      <c r="P79" s="283"/>
      <c r="Q79" s="282"/>
      <c r="R79" s="282"/>
      <c r="S79" s="285"/>
      <c r="T79" s="282"/>
      <c r="U79" s="282"/>
      <c r="V79" s="282"/>
      <c r="W79" s="282"/>
      <c r="X79" s="282"/>
      <c r="Y79" s="282"/>
      <c r="Z79" s="286"/>
      <c r="AB79" s="256"/>
      <c r="AC79" s="256"/>
      <c r="AD79" s="256"/>
      <c r="AE79" s="256"/>
      <c r="AF79" s="256"/>
      <c r="AG79" s="256"/>
      <c r="AH79" s="256"/>
      <c r="AI79" s="256"/>
      <c r="AJ79" s="256"/>
    </row>
    <row r="80" spans="1:36" s="98" customFormat="1">
      <c r="A80" s="41"/>
      <c r="B80" s="5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157"/>
      <c r="O80" s="281"/>
      <c r="P80" s="282"/>
      <c r="Q80" s="282"/>
      <c r="R80" s="282"/>
      <c r="S80" s="285"/>
      <c r="T80" s="282"/>
      <c r="U80" s="282"/>
      <c r="V80" s="282"/>
      <c r="W80" s="282"/>
      <c r="X80" s="282"/>
      <c r="Y80" s="282"/>
      <c r="Z80" s="286"/>
      <c r="AB80" s="256"/>
      <c r="AC80" s="256"/>
      <c r="AD80" s="256"/>
      <c r="AE80" s="256"/>
      <c r="AF80" s="256"/>
      <c r="AG80" s="256"/>
      <c r="AH80" s="256"/>
      <c r="AI80" s="256"/>
      <c r="AJ80" s="256"/>
    </row>
    <row r="81" spans="1:36" s="98" customFormat="1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157"/>
      <c r="O81" s="281"/>
      <c r="P81" s="282"/>
      <c r="Q81" s="282"/>
      <c r="R81" s="282"/>
      <c r="S81" s="285"/>
      <c r="T81" s="282"/>
      <c r="U81" s="282"/>
      <c r="V81" s="282"/>
      <c r="W81" s="282"/>
      <c r="X81" s="282"/>
      <c r="Y81" s="282"/>
      <c r="Z81" s="286"/>
      <c r="AB81" s="256"/>
      <c r="AC81" s="256"/>
      <c r="AD81" s="256"/>
      <c r="AE81" s="256"/>
      <c r="AF81" s="256"/>
      <c r="AG81" s="256"/>
      <c r="AH81" s="256"/>
      <c r="AI81" s="256"/>
      <c r="AJ81" s="256"/>
    </row>
    <row r="82" spans="1:36" s="98" customFormat="1">
      <c r="A82" s="5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157"/>
      <c r="O82" s="281"/>
      <c r="P82" s="282"/>
      <c r="Q82" s="282"/>
      <c r="R82" s="282"/>
      <c r="S82" s="285"/>
      <c r="T82" s="282"/>
      <c r="U82" s="282"/>
      <c r="V82" s="282"/>
      <c r="W82" s="282"/>
      <c r="X82" s="282"/>
      <c r="Y82" s="282"/>
      <c r="Z82" s="286"/>
      <c r="AB82" s="256"/>
      <c r="AC82" s="256"/>
      <c r="AD82" s="256"/>
      <c r="AE82" s="256"/>
      <c r="AF82" s="256"/>
      <c r="AG82" s="256"/>
      <c r="AH82" s="256"/>
      <c r="AI82" s="256"/>
      <c r="AJ82" s="256"/>
    </row>
    <row r="83" spans="1:36" s="98" customFormat="1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281"/>
      <c r="P83" s="282"/>
      <c r="Q83" s="282"/>
      <c r="R83" s="282"/>
      <c r="S83" s="285"/>
      <c r="T83" s="282"/>
      <c r="U83" s="282"/>
      <c r="V83" s="282"/>
      <c r="W83" s="282"/>
      <c r="X83" s="282"/>
      <c r="Y83" s="282"/>
      <c r="Z83" s="286"/>
      <c r="AB83" s="256"/>
      <c r="AC83" s="256"/>
      <c r="AD83" s="256"/>
      <c r="AE83" s="256"/>
      <c r="AF83" s="256"/>
      <c r="AG83" s="256"/>
      <c r="AH83" s="256"/>
      <c r="AI83" s="256"/>
      <c r="AJ83" s="256"/>
    </row>
    <row r="84" spans="1:36" s="98" customFormat="1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300"/>
      <c r="P84" s="282"/>
      <c r="Q84" s="282"/>
      <c r="R84" s="282"/>
      <c r="S84" s="285"/>
      <c r="T84" s="282"/>
      <c r="U84" s="282"/>
      <c r="V84" s="282"/>
      <c r="W84" s="282"/>
      <c r="X84" s="282"/>
      <c r="Y84" s="282"/>
      <c r="Z84" s="286"/>
      <c r="AB84" s="256"/>
      <c r="AC84" s="256"/>
      <c r="AD84" s="256"/>
      <c r="AE84" s="256"/>
      <c r="AF84" s="256"/>
      <c r="AG84" s="256"/>
      <c r="AH84" s="256"/>
      <c r="AI84" s="256"/>
      <c r="AJ84" s="256"/>
    </row>
    <row r="85" spans="1:36" s="98" customFormat="1">
      <c r="A85" s="51"/>
      <c r="B85" s="5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157"/>
      <c r="O85" s="300"/>
      <c r="P85" s="282"/>
      <c r="Q85" s="282"/>
      <c r="R85" s="282"/>
      <c r="S85" s="285"/>
      <c r="T85" s="282"/>
      <c r="U85" s="282"/>
      <c r="V85" s="282"/>
      <c r="W85" s="282"/>
      <c r="X85" s="282"/>
      <c r="Y85" s="282"/>
      <c r="Z85" s="286"/>
      <c r="AB85" s="256"/>
      <c r="AC85" s="256"/>
      <c r="AD85" s="256"/>
      <c r="AE85" s="256"/>
      <c r="AF85" s="256"/>
      <c r="AG85" s="256"/>
      <c r="AH85" s="256"/>
      <c r="AI85" s="256"/>
      <c r="AJ85" s="256"/>
    </row>
    <row r="86" spans="1:36" s="98" customFormat="1">
      <c r="A86" s="51"/>
      <c r="B86" s="5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157"/>
      <c r="O86" s="300"/>
      <c r="P86" s="282"/>
      <c r="Q86" s="282"/>
      <c r="R86" s="282"/>
      <c r="S86" s="285"/>
      <c r="T86" s="282"/>
      <c r="U86" s="282"/>
      <c r="V86" s="282"/>
      <c r="W86" s="282"/>
      <c r="X86" s="282"/>
      <c r="Y86" s="282"/>
      <c r="Z86" s="286"/>
      <c r="AB86" s="256"/>
      <c r="AC86" s="256"/>
      <c r="AD86" s="256"/>
      <c r="AE86" s="256"/>
      <c r="AF86" s="256"/>
      <c r="AG86" s="256"/>
      <c r="AH86" s="256"/>
      <c r="AI86" s="256"/>
      <c r="AJ86" s="256"/>
    </row>
    <row r="87" spans="1:36" s="98" customFormat="1">
      <c r="A87" s="51"/>
      <c r="B87" s="5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157"/>
      <c r="O87" s="300"/>
      <c r="P87" s="282"/>
      <c r="Q87" s="282"/>
      <c r="R87" s="282"/>
      <c r="S87" s="285"/>
      <c r="T87" s="282"/>
      <c r="U87" s="282"/>
      <c r="V87" s="282"/>
      <c r="W87" s="282"/>
      <c r="X87" s="282"/>
      <c r="Y87" s="282"/>
      <c r="Z87" s="286"/>
      <c r="AB87" s="256"/>
      <c r="AC87" s="256"/>
      <c r="AD87" s="256"/>
      <c r="AE87" s="256"/>
      <c r="AF87" s="256"/>
      <c r="AG87" s="256"/>
      <c r="AH87" s="256"/>
      <c r="AI87" s="256"/>
      <c r="AJ87" s="256"/>
    </row>
    <row r="88" spans="1:36" s="98" customFormat="1">
      <c r="A88" s="51"/>
      <c r="B88" s="5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157"/>
      <c r="O88" s="300"/>
      <c r="P88" s="282"/>
      <c r="Q88" s="282"/>
      <c r="R88" s="282"/>
      <c r="S88" s="285"/>
      <c r="T88" s="282"/>
      <c r="U88" s="282"/>
      <c r="V88" s="282"/>
      <c r="W88" s="282"/>
      <c r="X88" s="282"/>
      <c r="Y88" s="282"/>
      <c r="Z88" s="286"/>
      <c r="AB88" s="256"/>
      <c r="AC88" s="256"/>
      <c r="AD88" s="256"/>
      <c r="AE88" s="256"/>
      <c r="AF88" s="256"/>
      <c r="AG88" s="256"/>
      <c r="AH88" s="256"/>
      <c r="AI88" s="256"/>
      <c r="AJ88" s="256"/>
    </row>
    <row r="89" spans="1:36" s="98" customFormat="1">
      <c r="A89" s="51"/>
      <c r="B89" s="5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157"/>
      <c r="O89" s="300"/>
      <c r="P89" s="282"/>
      <c r="Q89" s="282"/>
      <c r="R89" s="282"/>
      <c r="S89" s="285"/>
      <c r="T89" s="282"/>
      <c r="U89" s="282"/>
      <c r="V89" s="282"/>
      <c r="W89" s="282"/>
      <c r="X89" s="282"/>
      <c r="Y89" s="282"/>
      <c r="Z89" s="286"/>
      <c r="AB89" s="256"/>
      <c r="AC89" s="256"/>
      <c r="AD89" s="256"/>
      <c r="AE89" s="256"/>
      <c r="AF89" s="256"/>
      <c r="AG89" s="256"/>
      <c r="AH89" s="256"/>
      <c r="AI89" s="256"/>
      <c r="AJ89" s="256"/>
    </row>
    <row r="90" spans="1:36" s="98" customFormat="1">
      <c r="A90" s="51"/>
      <c r="B90" s="5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157"/>
      <c r="O90" s="300"/>
      <c r="P90" s="282"/>
      <c r="Q90" s="282"/>
      <c r="R90" s="282"/>
      <c r="S90" s="285"/>
      <c r="T90" s="282"/>
      <c r="U90" s="282"/>
      <c r="V90" s="282"/>
      <c r="W90" s="282"/>
      <c r="X90" s="282"/>
      <c r="Y90" s="282"/>
      <c r="Z90" s="286"/>
      <c r="AB90" s="256"/>
      <c r="AC90" s="256"/>
      <c r="AD90" s="256"/>
      <c r="AE90" s="256"/>
      <c r="AF90" s="256"/>
      <c r="AG90" s="256"/>
      <c r="AH90" s="256"/>
      <c r="AI90" s="256"/>
      <c r="AJ90" s="256"/>
    </row>
    <row r="91" spans="1:36" s="98" customFormat="1">
      <c r="A91" s="51"/>
      <c r="B91" s="5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157"/>
      <c r="O91" s="300"/>
      <c r="P91" s="282"/>
      <c r="Q91" s="282"/>
      <c r="R91" s="282"/>
      <c r="S91" s="285"/>
      <c r="T91" s="282"/>
      <c r="U91" s="282"/>
      <c r="V91" s="282"/>
      <c r="W91" s="282"/>
      <c r="X91" s="282"/>
      <c r="Y91" s="282"/>
      <c r="Z91" s="286"/>
      <c r="AB91" s="256"/>
      <c r="AC91" s="256"/>
      <c r="AD91" s="256"/>
      <c r="AE91" s="256"/>
      <c r="AF91" s="256"/>
      <c r="AG91" s="256"/>
      <c r="AH91" s="256"/>
      <c r="AI91" s="256"/>
      <c r="AJ91" s="256"/>
    </row>
    <row r="92" spans="1:36" s="98" customFormat="1">
      <c r="A92" s="51"/>
      <c r="B92" s="5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157"/>
      <c r="O92" s="300"/>
      <c r="P92" s="282"/>
      <c r="Q92" s="282"/>
      <c r="R92" s="282"/>
      <c r="S92" s="285"/>
      <c r="T92" s="282"/>
      <c r="U92" s="282"/>
      <c r="V92" s="282"/>
      <c r="W92" s="282"/>
      <c r="X92" s="282"/>
      <c r="Y92" s="282"/>
      <c r="Z92" s="286"/>
      <c r="AB92" s="256"/>
      <c r="AC92" s="256"/>
      <c r="AD92" s="256"/>
      <c r="AE92" s="256"/>
      <c r="AF92" s="256"/>
      <c r="AG92" s="256"/>
      <c r="AH92" s="256"/>
      <c r="AI92" s="256"/>
      <c r="AJ92" s="256"/>
    </row>
    <row r="93" spans="1:36" s="98" customFormat="1">
      <c r="A93" s="51"/>
      <c r="B93" s="5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157"/>
      <c r="O93" s="300"/>
      <c r="P93" s="282"/>
      <c r="Q93" s="282"/>
      <c r="R93" s="282"/>
      <c r="S93" s="285"/>
      <c r="T93" s="282"/>
      <c r="U93" s="282"/>
      <c r="V93" s="282"/>
      <c r="W93" s="282"/>
      <c r="X93" s="282"/>
      <c r="Y93" s="282"/>
      <c r="Z93" s="286"/>
      <c r="AB93" s="256"/>
      <c r="AC93" s="256"/>
      <c r="AD93" s="256"/>
      <c r="AE93" s="256"/>
      <c r="AF93" s="256"/>
      <c r="AG93" s="256"/>
      <c r="AH93" s="256"/>
      <c r="AI93" s="256"/>
      <c r="AJ93" s="256"/>
    </row>
    <row r="94" spans="1:36" s="98" customFormat="1">
      <c r="A94" s="51"/>
      <c r="B94" s="5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157"/>
      <c r="O94" s="300"/>
      <c r="P94" s="282"/>
      <c r="Q94" s="282"/>
      <c r="R94" s="282"/>
      <c r="S94" s="285"/>
      <c r="T94" s="282"/>
      <c r="U94" s="282"/>
      <c r="V94" s="282"/>
      <c r="W94" s="282"/>
      <c r="X94" s="282"/>
      <c r="Y94" s="282"/>
      <c r="Z94" s="286"/>
      <c r="AB94" s="256"/>
      <c r="AC94" s="256"/>
      <c r="AD94" s="256"/>
      <c r="AE94" s="256"/>
      <c r="AF94" s="256"/>
      <c r="AG94" s="256"/>
      <c r="AH94" s="256"/>
      <c r="AI94" s="256"/>
      <c r="AJ94" s="256"/>
    </row>
    <row r="95" spans="1:36" s="98" customFormat="1">
      <c r="A95" s="51"/>
      <c r="B95" s="5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157"/>
      <c r="O95" s="300"/>
      <c r="P95" s="282"/>
      <c r="Q95" s="282"/>
      <c r="R95" s="282"/>
      <c r="S95" s="285"/>
      <c r="T95" s="282"/>
      <c r="U95" s="282"/>
      <c r="V95" s="282"/>
      <c r="W95" s="282"/>
      <c r="X95" s="282"/>
      <c r="Y95" s="282"/>
      <c r="Z95" s="286"/>
      <c r="AB95" s="256"/>
      <c r="AC95" s="256"/>
      <c r="AD95" s="256"/>
      <c r="AE95" s="256"/>
      <c r="AF95" s="256"/>
      <c r="AG95" s="256"/>
      <c r="AH95" s="256"/>
      <c r="AI95" s="256"/>
      <c r="AJ95" s="256"/>
    </row>
    <row r="96" spans="1:36" s="98" customFormat="1">
      <c r="A96" s="51"/>
      <c r="B96" s="5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157"/>
      <c r="O96" s="300"/>
      <c r="P96" s="282"/>
      <c r="Q96" s="282"/>
      <c r="R96" s="282"/>
      <c r="S96" s="285"/>
      <c r="T96" s="282"/>
      <c r="U96" s="282"/>
      <c r="V96" s="282"/>
      <c r="W96" s="282"/>
      <c r="X96" s="282"/>
      <c r="Y96" s="282"/>
      <c r="Z96" s="286"/>
      <c r="AB96" s="256"/>
      <c r="AC96" s="256"/>
      <c r="AD96" s="256"/>
      <c r="AE96" s="256"/>
      <c r="AF96" s="256"/>
      <c r="AG96" s="256"/>
      <c r="AH96" s="256"/>
      <c r="AI96" s="256"/>
      <c r="AJ96" s="256"/>
    </row>
    <row r="97" spans="1:36" s="98" customFormat="1">
      <c r="A97" s="51"/>
      <c r="B97" s="5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157"/>
      <c r="O97" s="300"/>
      <c r="P97" s="282"/>
      <c r="Q97" s="282"/>
      <c r="R97" s="282"/>
      <c r="S97" s="285"/>
      <c r="T97" s="282"/>
      <c r="U97" s="282"/>
      <c r="V97" s="282"/>
      <c r="W97" s="282"/>
      <c r="X97" s="282"/>
      <c r="Y97" s="282"/>
      <c r="Z97" s="286"/>
      <c r="AB97" s="256"/>
      <c r="AC97" s="256"/>
      <c r="AD97" s="256"/>
      <c r="AE97" s="256"/>
      <c r="AF97" s="256"/>
      <c r="AG97" s="256"/>
      <c r="AH97" s="256"/>
      <c r="AI97" s="256"/>
      <c r="AJ97" s="256"/>
    </row>
    <row r="98" spans="1:36" s="98" customFormat="1">
      <c r="A98" s="42"/>
      <c r="B98" s="5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157"/>
      <c r="O98" s="300"/>
      <c r="P98" s="282"/>
      <c r="Q98" s="282"/>
      <c r="R98" s="282"/>
      <c r="S98" s="285"/>
      <c r="T98" s="282"/>
      <c r="U98" s="282"/>
      <c r="V98" s="282"/>
      <c r="W98" s="282"/>
      <c r="X98" s="282"/>
      <c r="Y98" s="282"/>
      <c r="Z98" s="286"/>
      <c r="AB98" s="256"/>
      <c r="AC98" s="256"/>
      <c r="AD98" s="256"/>
      <c r="AE98" s="256"/>
      <c r="AF98" s="256"/>
      <c r="AG98" s="256"/>
      <c r="AH98" s="256"/>
      <c r="AI98" s="256"/>
      <c r="AJ98" s="256"/>
    </row>
    <row r="99" spans="1:36" s="98" customFormat="1">
      <c r="A99" s="42"/>
      <c r="B99" s="5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157"/>
      <c r="O99" s="300"/>
      <c r="P99" s="282"/>
      <c r="Q99" s="282"/>
      <c r="R99" s="282"/>
      <c r="S99" s="285"/>
      <c r="T99" s="282"/>
      <c r="U99" s="282"/>
      <c r="V99" s="282"/>
      <c r="W99" s="282"/>
      <c r="X99" s="282"/>
      <c r="Y99" s="282"/>
      <c r="Z99" s="286"/>
      <c r="AB99" s="256"/>
      <c r="AC99" s="256"/>
      <c r="AD99" s="256"/>
      <c r="AE99" s="256"/>
      <c r="AF99" s="256"/>
      <c r="AG99" s="256"/>
      <c r="AH99" s="256"/>
      <c r="AI99" s="256"/>
      <c r="AJ99" s="256"/>
    </row>
    <row r="100" spans="1:36" s="98" customFormat="1">
      <c r="A100" s="42"/>
      <c r="B100" s="5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157"/>
      <c r="O100" s="281"/>
      <c r="P100" s="282"/>
      <c r="Q100" s="282"/>
      <c r="R100" s="282"/>
      <c r="S100" s="285"/>
      <c r="T100" s="282"/>
      <c r="U100" s="282"/>
      <c r="V100" s="282"/>
      <c r="W100" s="282"/>
      <c r="X100" s="282"/>
      <c r="Y100" s="282"/>
      <c r="Z100" s="286"/>
      <c r="AB100" s="256"/>
      <c r="AC100" s="256"/>
      <c r="AD100" s="256"/>
      <c r="AE100" s="256"/>
      <c r="AF100" s="256"/>
      <c r="AG100" s="256"/>
      <c r="AH100" s="256"/>
      <c r="AI100" s="256"/>
      <c r="AJ100" s="256"/>
    </row>
    <row r="101" spans="1:36" s="98" customFormat="1">
      <c r="A101" s="42"/>
      <c r="B101" s="5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157"/>
      <c r="O101" s="281"/>
      <c r="P101" s="282"/>
      <c r="Q101" s="282"/>
      <c r="R101" s="282"/>
      <c r="S101" s="285"/>
      <c r="T101" s="282"/>
      <c r="U101" s="282"/>
      <c r="V101" s="282"/>
      <c r="W101" s="282"/>
      <c r="X101" s="282"/>
      <c r="Y101" s="282"/>
      <c r="Z101" s="286"/>
      <c r="AB101" s="256"/>
      <c r="AC101" s="256"/>
      <c r="AD101" s="256"/>
      <c r="AE101" s="256"/>
      <c r="AF101" s="256"/>
      <c r="AG101" s="256"/>
      <c r="AH101" s="256"/>
      <c r="AI101" s="256"/>
      <c r="AJ101" s="256"/>
    </row>
  </sheetData>
  <sheetProtection sheet="1" objects="1" scenarios="1"/>
  <mergeCells count="5">
    <mergeCell ref="F2:L2"/>
    <mergeCell ref="U27:V27"/>
    <mergeCell ref="B83:N83"/>
    <mergeCell ref="B84:N84"/>
    <mergeCell ref="G6:L6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3280-AAA0-426A-B090-B727DD666EFA}">
  <sheetPr codeName="Sheet27"/>
  <dimension ref="A1:AJ101"/>
  <sheetViews>
    <sheetView showGridLines="0" workbookViewId="0"/>
  </sheetViews>
  <sheetFormatPr defaultColWidth="9.140625" defaultRowHeight="15"/>
  <cols>
    <col min="1" max="1" width="10.42578125" style="42" customWidth="1"/>
    <col min="2" max="2" width="7.5703125" style="42" customWidth="1"/>
    <col min="3" max="3" width="9.5703125" style="42" customWidth="1"/>
    <col min="4" max="4" width="25.42578125" style="42" hidden="1" customWidth="1"/>
    <col min="5" max="5" width="10.5703125" style="42" hidden="1" customWidth="1"/>
    <col min="6" max="6" width="6.42578125" style="42" hidden="1" customWidth="1"/>
    <col min="7" max="11" width="6.5703125" style="42" customWidth="1"/>
    <col min="12" max="12" width="6.5703125" style="42" bestFit="1" customWidth="1"/>
    <col min="13" max="13" width="6.42578125" style="42" customWidth="1"/>
    <col min="14" max="14" width="46.42578125" style="157" customWidth="1"/>
    <col min="15" max="15" width="23.85546875" style="281" hidden="1" customWidth="1"/>
    <col min="16" max="16" width="14.85546875" style="282" hidden="1" customWidth="1"/>
    <col min="17" max="17" width="11.5703125" style="282" hidden="1" customWidth="1"/>
    <col min="18" max="18" width="7.85546875" style="282" hidden="1" customWidth="1"/>
    <col min="19" max="19" width="24.42578125" style="285" hidden="1" customWidth="1"/>
    <col min="20" max="20" width="25.42578125" style="282" hidden="1" customWidth="1"/>
    <col min="21" max="21" width="9.42578125" style="282" hidden="1" customWidth="1"/>
    <col min="22" max="25" width="7.42578125" style="282" hidden="1" customWidth="1"/>
    <col min="26" max="26" width="7.42578125" style="286" hidden="1" customWidth="1"/>
    <col min="27" max="27" width="31.140625" style="42" hidden="1" customWidth="1"/>
    <col min="28" max="28" width="24.42578125" style="254" hidden="1" customWidth="1"/>
    <col min="29" max="29" width="5.85546875" style="254" hidden="1" customWidth="1"/>
    <col min="30" max="30" width="32.140625" style="254" hidden="1" customWidth="1"/>
    <col min="31" max="31" width="9.42578125" style="254" hidden="1" customWidth="1"/>
    <col min="32" max="36" width="7.42578125" style="254" hidden="1" customWidth="1"/>
    <col min="37" max="16384" width="9.140625" style="42"/>
  </cols>
  <sheetData>
    <row r="1" spans="1:36" ht="15.75">
      <c r="A1" s="301" t="s">
        <v>140</v>
      </c>
      <c r="B1" s="207"/>
      <c r="C1" s="207"/>
      <c r="D1" s="207"/>
      <c r="E1" s="208"/>
      <c r="F1" s="162"/>
      <c r="G1" s="230"/>
      <c r="H1" s="162"/>
      <c r="I1" s="98"/>
      <c r="J1" s="98"/>
      <c r="K1" s="98"/>
      <c r="L1" s="98"/>
      <c r="M1" s="98"/>
      <c r="O1" s="281" t="s">
        <v>288</v>
      </c>
      <c r="P1" s="282" t="s">
        <v>294</v>
      </c>
      <c r="Q1" s="283" t="s">
        <v>293</v>
      </c>
      <c r="R1" s="284">
        <v>1.0449999999999999</v>
      </c>
    </row>
    <row r="2" spans="1:36" ht="15.75">
      <c r="A2" s="302" t="s">
        <v>308</v>
      </c>
      <c r="B2" s="158"/>
      <c r="C2" s="158"/>
      <c r="D2" s="162"/>
      <c r="E2" s="162"/>
      <c r="F2" s="341" t="s">
        <v>80</v>
      </c>
      <c r="G2" s="341"/>
      <c r="H2" s="341"/>
      <c r="I2" s="341"/>
      <c r="J2" s="341"/>
      <c r="K2" s="341"/>
      <c r="L2" s="341"/>
      <c r="M2" s="162"/>
      <c r="N2" s="158"/>
      <c r="U2" s="282">
        <v>3</v>
      </c>
      <c r="V2" s="282">
        <v>4</v>
      </c>
      <c r="W2" s="282">
        <v>5</v>
      </c>
      <c r="X2" s="282">
        <v>6</v>
      </c>
      <c r="Y2" s="282">
        <v>7</v>
      </c>
      <c r="Z2" s="286">
        <v>8</v>
      </c>
    </row>
    <row r="3" spans="1:36">
      <c r="A3" s="303" t="str">
        <f>"Increase %: "&amp;TEXT(R1-1,"0.00%")</f>
        <v>Increase %: 4.50%</v>
      </c>
      <c r="B3" s="158"/>
      <c r="C3" s="158"/>
      <c r="D3" s="162"/>
      <c r="E3" s="162"/>
      <c r="F3" s="233"/>
      <c r="G3" s="233"/>
      <c r="H3" s="233"/>
      <c r="I3" s="233"/>
      <c r="J3" s="233"/>
      <c r="K3" s="233"/>
      <c r="L3" s="233"/>
      <c r="M3" s="162"/>
      <c r="N3" s="158"/>
    </row>
    <row r="4" spans="1:36">
      <c r="A4" s="252" t="s">
        <v>307</v>
      </c>
      <c r="B4" s="158"/>
      <c r="C4" s="158"/>
      <c r="D4" s="162"/>
      <c r="E4" s="162"/>
      <c r="F4" s="233"/>
      <c r="G4" s="233"/>
      <c r="H4" s="233"/>
      <c r="I4" s="233"/>
      <c r="J4" s="233"/>
      <c r="K4" s="233"/>
      <c r="L4" s="233"/>
      <c r="M4" s="162"/>
      <c r="N4" s="158"/>
    </row>
    <row r="5" spans="1:36" ht="15.75" thickBot="1">
      <c r="A5" s="252"/>
      <c r="B5" s="158"/>
      <c r="C5" s="158"/>
      <c r="D5" s="162"/>
      <c r="E5" s="162"/>
      <c r="F5" s="233"/>
      <c r="G5" s="233"/>
      <c r="H5" s="233"/>
      <c r="I5" s="233"/>
      <c r="J5" s="233"/>
      <c r="K5" s="233"/>
      <c r="L5" s="233"/>
      <c r="M5" s="162"/>
      <c r="N5" s="158"/>
      <c r="O5" s="294" t="s">
        <v>301</v>
      </c>
      <c r="AB5" s="304" t="s">
        <v>302</v>
      </c>
    </row>
    <row r="6" spans="1:36" ht="15.75" thickBot="1">
      <c r="A6" s="233"/>
      <c r="B6" s="158"/>
      <c r="C6" s="158"/>
      <c r="D6" s="162"/>
      <c r="E6" s="162"/>
      <c r="F6" s="233"/>
      <c r="G6" s="344" t="s">
        <v>300</v>
      </c>
      <c r="H6" s="345"/>
      <c r="I6" s="345"/>
      <c r="J6" s="345"/>
      <c r="K6" s="345"/>
      <c r="L6" s="346"/>
      <c r="M6" s="162"/>
      <c r="N6" s="158"/>
    </row>
    <row r="7" spans="1:36" ht="30" customHeight="1" thickBot="1">
      <c r="A7" s="213" t="s">
        <v>137</v>
      </c>
      <c r="B7" s="214" t="s">
        <v>114</v>
      </c>
      <c r="C7" s="214" t="s">
        <v>138</v>
      </c>
      <c r="D7" s="215" t="s">
        <v>4</v>
      </c>
      <c r="E7" s="215" t="s">
        <v>5</v>
      </c>
      <c r="F7" s="305" t="s">
        <v>6</v>
      </c>
      <c r="G7" s="311" t="s">
        <v>7</v>
      </c>
      <c r="H7" s="312" t="s">
        <v>8</v>
      </c>
      <c r="I7" s="312" t="s">
        <v>9</v>
      </c>
      <c r="J7" s="312" t="s">
        <v>10</v>
      </c>
      <c r="K7" s="312" t="s">
        <v>11</v>
      </c>
      <c r="L7" s="313" t="s">
        <v>12</v>
      </c>
      <c r="M7" s="159"/>
      <c r="N7" s="42"/>
      <c r="O7" s="287" t="s">
        <v>285</v>
      </c>
      <c r="P7" s="287" t="s">
        <v>277</v>
      </c>
      <c r="Q7" s="287" t="s">
        <v>138</v>
      </c>
      <c r="R7" s="287" t="s">
        <v>286</v>
      </c>
      <c r="S7" s="287" t="s">
        <v>137</v>
      </c>
      <c r="T7" s="288" t="s">
        <v>279</v>
      </c>
      <c r="U7" s="288" t="s">
        <v>7</v>
      </c>
      <c r="V7" s="288" t="s">
        <v>8</v>
      </c>
      <c r="W7" s="288" t="s">
        <v>9</v>
      </c>
      <c r="X7" s="288" t="s">
        <v>10</v>
      </c>
      <c r="Y7" s="288" t="s">
        <v>11</v>
      </c>
      <c r="Z7" s="288" t="s">
        <v>12</v>
      </c>
      <c r="AB7" s="253" t="s">
        <v>137</v>
      </c>
      <c r="AC7" s="202" t="s">
        <v>138</v>
      </c>
      <c r="AD7" s="234" t="s">
        <v>279</v>
      </c>
      <c r="AE7" s="234" t="s">
        <v>7</v>
      </c>
      <c r="AF7" s="234" t="s">
        <v>8</v>
      </c>
      <c r="AG7" s="234" t="s">
        <v>9</v>
      </c>
      <c r="AH7" s="234" t="s">
        <v>10</v>
      </c>
      <c r="AI7" s="234" t="s">
        <v>11</v>
      </c>
      <c r="AJ7" s="234" t="s">
        <v>12</v>
      </c>
    </row>
    <row r="8" spans="1:36" ht="18.75" customHeight="1">
      <c r="A8" s="217" t="s">
        <v>157</v>
      </c>
      <c r="B8" s="211" t="s">
        <v>115</v>
      </c>
      <c r="C8" s="211" t="str">
        <f>Q8</f>
        <v>CFG 5</v>
      </c>
      <c r="D8" s="212" t="s">
        <v>84</v>
      </c>
      <c r="E8" s="209"/>
      <c r="F8" s="306" t="s">
        <v>17</v>
      </c>
      <c r="G8" s="314">
        <f ca="1">U8*$O8</f>
        <v>1964.0169422499998</v>
      </c>
      <c r="H8" s="315"/>
      <c r="I8" s="315"/>
      <c r="J8" s="315"/>
      <c r="K8" s="315"/>
      <c r="L8" s="316"/>
      <c r="M8" s="159"/>
      <c r="N8" s="42"/>
      <c r="O8" s="289">
        <v>80</v>
      </c>
      <c r="P8" s="290" t="s">
        <v>143</v>
      </c>
      <c r="Q8" s="291" t="s">
        <v>156</v>
      </c>
      <c r="R8" s="291" t="s">
        <v>287</v>
      </c>
      <c r="S8" s="291" t="str">
        <f t="shared" ref="S8:S21" si="0">A8</f>
        <v>04440C</v>
      </c>
      <c r="T8" s="289" t="s">
        <v>84</v>
      </c>
      <c r="U8" s="292" cm="1">
        <f t="array" aca="1" ref="U8" ca="1">IF($R8="Y",VLOOKUP($S8,INDIRECT($P$1),U$2,0)*INDIRECT($Q$1),VLOOKUP($S8,INDIRECT($P$1),U$2,0))</f>
        <v>24.550211778124996</v>
      </c>
      <c r="V8" s="292"/>
      <c r="W8" s="292"/>
      <c r="X8" s="292"/>
      <c r="Y8" s="292"/>
      <c r="Z8" s="292"/>
      <c r="AB8" s="203" t="str">
        <f>S8</f>
        <v>04440C</v>
      </c>
      <c r="AC8" s="203" t="str">
        <f t="shared" ref="AC8:AC21" si="1">C8</f>
        <v>CFG 5</v>
      </c>
      <c r="AD8" s="203" t="str">
        <f>T8</f>
        <v>Fire Cadet</v>
      </c>
      <c r="AE8" s="255">
        <f ca="1">ROUND(U8,3)</f>
        <v>24.55</v>
      </c>
      <c r="AF8" s="203"/>
      <c r="AG8" s="203"/>
      <c r="AH8" s="203"/>
      <c r="AI8" s="203"/>
      <c r="AJ8" s="203"/>
    </row>
    <row r="9" spans="1:36" ht="18.75" customHeight="1">
      <c r="A9" s="218" t="s">
        <v>15</v>
      </c>
      <c r="B9" s="64" t="s">
        <v>115</v>
      </c>
      <c r="C9" s="211" t="str">
        <f t="shared" ref="C9:C21" si="2">Q9</f>
        <v>CFH 1</v>
      </c>
      <c r="D9" s="60" t="s">
        <v>16</v>
      </c>
      <c r="E9" s="60">
        <v>353</v>
      </c>
      <c r="F9" s="307" t="s">
        <v>17</v>
      </c>
      <c r="G9" s="309">
        <f ca="1">U9*$O9</f>
        <v>2805.6896792924999</v>
      </c>
      <c r="H9" s="226">
        <f t="shared" ref="H9:L9" ca="1" si="3">V9*$O9</f>
        <v>2917.9076751824996</v>
      </c>
      <c r="I9" s="226">
        <f t="shared" ca="1" si="3"/>
        <v>3034.6815298799993</v>
      </c>
      <c r="J9" s="226">
        <f t="shared" ca="1" si="3"/>
        <v>3156.0112433849995</v>
      </c>
      <c r="K9" s="226">
        <f t="shared" ca="1" si="3"/>
        <v>3282.2564887612498</v>
      </c>
      <c r="L9" s="227">
        <f t="shared" ca="1" si="3"/>
        <v>3413.5371570299994</v>
      </c>
      <c r="M9" s="165"/>
      <c r="N9" s="42"/>
      <c r="O9" s="289">
        <v>109.2</v>
      </c>
      <c r="P9" s="291" t="s">
        <v>144</v>
      </c>
      <c r="Q9" s="291" t="s">
        <v>235</v>
      </c>
      <c r="R9" s="291" t="s">
        <v>287</v>
      </c>
      <c r="S9" s="291" t="str">
        <f t="shared" si="0"/>
        <v>04450C</v>
      </c>
      <c r="T9" s="289" t="s">
        <v>16</v>
      </c>
      <c r="U9" s="292" cm="1">
        <f t="array" aca="1" ref="U9" ca="1">IF($R9="Y",VLOOKUP($S9,INDIRECT($P$1),U$2,0)*INDIRECT($Q$1),VLOOKUP($S9,INDIRECT($P$1),U$2,0))</f>
        <v>25.693128931249998</v>
      </c>
      <c r="V9" s="292" cm="1">
        <f t="array" aca="1" ref="V9" ca="1">IF($R9="Y",VLOOKUP($S9,INDIRECT($P$1),V$2,0)*INDIRECT($Q$1),VLOOKUP($S9,INDIRECT($P$1),V$2,0))</f>
        <v>26.720766256249995</v>
      </c>
      <c r="W9" s="292" cm="1">
        <f t="array" aca="1" ref="W9" ca="1">IF($R9="Y",VLOOKUP($S9,INDIRECT($P$1),W$2,0)*INDIRECT($Q$1),VLOOKUP($S9,INDIRECT($P$1),W$2,0))</f>
        <v>27.790123899999994</v>
      </c>
      <c r="X9" s="292" cm="1">
        <f t="array" aca="1" ref="X9" ca="1">IF($R9="Y",VLOOKUP($S9,INDIRECT($P$1),X$2,0)*INDIRECT($Q$1),VLOOKUP($S9,INDIRECT($P$1),X$2,0))</f>
        <v>28.901201862499995</v>
      </c>
      <c r="Y9" s="292" cm="1">
        <f t="array" aca="1" ref="Y9" ca="1">IF($R9="Y",VLOOKUP($S9,INDIRECT($P$1),Y$2,0)*INDIRECT($Q$1),VLOOKUP($S9,INDIRECT($P$1),Y$2,0))</f>
        <v>30.057293853124996</v>
      </c>
      <c r="Z9" s="292" cm="1">
        <f t="array" aca="1" ref="Z9" ca="1">IF($R9="Y",VLOOKUP($S9,INDIRECT($P$1),Z$2,0)*INDIRECT($Q$1),VLOOKUP($S9,INDIRECT($P$1),Z$2,0))</f>
        <v>31.259497774999993</v>
      </c>
      <c r="AB9" s="203" t="str">
        <f>S9</f>
        <v>04450C</v>
      </c>
      <c r="AC9" s="203" t="str">
        <f t="shared" si="1"/>
        <v>CFH 1</v>
      </c>
      <c r="AD9" s="203" t="str">
        <f>T9</f>
        <v>Fire Fighter</v>
      </c>
      <c r="AE9" s="255">
        <f ca="1">ROUND(U9,3)</f>
        <v>25.693000000000001</v>
      </c>
      <c r="AF9" s="255">
        <f t="shared" ref="AF9:AJ22" ca="1" si="4">ROUND(V9,3)</f>
        <v>26.721</v>
      </c>
      <c r="AG9" s="255">
        <f t="shared" ca="1" si="4"/>
        <v>27.79</v>
      </c>
      <c r="AH9" s="255">
        <f t="shared" ca="1" si="4"/>
        <v>28.901</v>
      </c>
      <c r="AI9" s="255">
        <f t="shared" ca="1" si="4"/>
        <v>30.056999999999999</v>
      </c>
      <c r="AJ9" s="255">
        <f t="shared" ca="1" si="4"/>
        <v>31.259</v>
      </c>
    </row>
    <row r="10" spans="1:36" ht="18.75" customHeight="1">
      <c r="A10" s="218" t="s">
        <v>19</v>
      </c>
      <c r="B10" s="64" t="s">
        <v>115</v>
      </c>
      <c r="C10" s="211" t="str">
        <f t="shared" si="2"/>
        <v>CFI 1</v>
      </c>
      <c r="D10" s="60" t="s">
        <v>20</v>
      </c>
      <c r="E10" s="60">
        <v>353</v>
      </c>
      <c r="F10" s="307" t="s">
        <v>17</v>
      </c>
      <c r="G10" s="309">
        <f t="shared" ref="G10:G11" ca="1" si="5">U10*$O10</f>
        <v>2805.7133939999999</v>
      </c>
      <c r="H10" s="226">
        <f t="shared" ref="H10:H11" ca="1" si="6">V10*$O10</f>
        <v>2917.9630094999989</v>
      </c>
      <c r="I10" s="226">
        <f t="shared" ref="I10:I11" ca="1" si="7">W10*$O10</f>
        <v>3034.6920697499991</v>
      </c>
      <c r="J10" s="226">
        <f t="shared" ref="J10:J11" ca="1" si="8">X10*$O10</f>
        <v>3156.0762392500001</v>
      </c>
      <c r="K10" s="226">
        <f t="shared" ref="K10:K11" ca="1" si="9">Y10*$O10</f>
        <v>3282.2911824999992</v>
      </c>
      <c r="L10" s="227">
        <f t="shared" ref="L10:L11" ca="1" si="10">Z10*$O10</f>
        <v>3413.6003962499985</v>
      </c>
      <c r="M10" s="165"/>
      <c r="N10" s="42"/>
      <c r="O10" s="289">
        <v>80</v>
      </c>
      <c r="P10" s="291" t="s">
        <v>143</v>
      </c>
      <c r="Q10" s="291" t="s">
        <v>234</v>
      </c>
      <c r="R10" s="291" t="s">
        <v>287</v>
      </c>
      <c r="S10" s="291" t="str">
        <f t="shared" si="0"/>
        <v>04451C</v>
      </c>
      <c r="T10" s="289" t="s">
        <v>20</v>
      </c>
      <c r="U10" s="292" cm="1">
        <f t="array" aca="1" ref="U10" ca="1">IF($R10="Y",VLOOKUP($S10,INDIRECT($P$1),U$2,0)*INDIRECT($Q$1),VLOOKUP($S10,INDIRECT($P$1),U$2,0))</f>
        <v>35.071417425</v>
      </c>
      <c r="V10" s="292" cm="1">
        <f t="array" aca="1" ref="V10" ca="1">IF($R10="Y",VLOOKUP($S10,INDIRECT($P$1),V$2,0)*INDIRECT($Q$1),VLOOKUP($S10,INDIRECT($P$1),V$2,0))</f>
        <v>36.474537618749984</v>
      </c>
      <c r="W10" s="292" cm="1">
        <f t="array" aca="1" ref="W10" ca="1">IF($R10="Y",VLOOKUP($S10,INDIRECT($P$1),W$2,0)*INDIRECT($Q$1),VLOOKUP($S10,INDIRECT($P$1),W$2,0))</f>
        <v>37.933650871874988</v>
      </c>
      <c r="X10" s="292" cm="1">
        <f t="array" aca="1" ref="X10" ca="1">IF($R10="Y",VLOOKUP($S10,INDIRECT($P$1),X$2,0)*INDIRECT($Q$1),VLOOKUP($S10,INDIRECT($P$1),X$2,0))</f>
        <v>39.450952990624998</v>
      </c>
      <c r="Y10" s="292" cm="1">
        <f t="array" aca="1" ref="Y10" ca="1">IF($R10="Y",VLOOKUP($S10,INDIRECT($P$1),Y$2,0)*INDIRECT($Q$1),VLOOKUP($S10,INDIRECT($P$1),Y$2,0))</f>
        <v>41.028639781249993</v>
      </c>
      <c r="Z10" s="292" cm="1">
        <f t="array" aca="1" ref="Z10" ca="1">IF($R10="Y",VLOOKUP($S10,INDIRECT($P$1),Z$2,0)*INDIRECT($Q$1),VLOOKUP($S10,INDIRECT($P$1),Z$2,0))</f>
        <v>42.67000495312498</v>
      </c>
      <c r="AB10" s="203" t="str">
        <f t="shared" ref="AB10:AB22" si="11">S10</f>
        <v>04451C</v>
      </c>
      <c r="AC10" s="203" t="str">
        <f t="shared" si="1"/>
        <v>CFI 1</v>
      </c>
      <c r="AD10" s="203" t="str">
        <f t="shared" ref="AD10:AD22" si="12">T10</f>
        <v>Fire Fighter (40 hrs.)</v>
      </c>
      <c r="AE10" s="255">
        <f t="shared" ref="AE10:AE22" ca="1" si="13">ROUND(U10,3)</f>
        <v>35.070999999999998</v>
      </c>
      <c r="AF10" s="255">
        <f t="shared" ca="1" si="4"/>
        <v>36.475000000000001</v>
      </c>
      <c r="AG10" s="255">
        <f t="shared" ca="1" si="4"/>
        <v>37.933999999999997</v>
      </c>
      <c r="AH10" s="255">
        <f t="shared" ca="1" si="4"/>
        <v>39.451000000000001</v>
      </c>
      <c r="AI10" s="255">
        <f t="shared" ca="1" si="4"/>
        <v>41.029000000000003</v>
      </c>
      <c r="AJ10" s="255">
        <f t="shared" ca="1" si="4"/>
        <v>42.67</v>
      </c>
    </row>
    <row r="11" spans="1:36" ht="18.75" customHeight="1">
      <c r="A11" s="218" t="s">
        <v>21</v>
      </c>
      <c r="B11" s="64" t="s">
        <v>115</v>
      </c>
      <c r="C11" s="211" t="str">
        <f t="shared" si="2"/>
        <v>CFF 1</v>
      </c>
      <c r="D11" s="60" t="s">
        <v>22</v>
      </c>
      <c r="E11" s="60"/>
      <c r="F11" s="307" t="s">
        <v>17</v>
      </c>
      <c r="G11" s="309">
        <f t="shared" ca="1" si="5"/>
        <v>2805.6896792924999</v>
      </c>
      <c r="H11" s="226">
        <f t="shared" ca="1" si="6"/>
        <v>2917.9076751824996</v>
      </c>
      <c r="I11" s="226">
        <f t="shared" ca="1" si="7"/>
        <v>3034.6815298799993</v>
      </c>
      <c r="J11" s="226">
        <f t="shared" ca="1" si="8"/>
        <v>3156.0112433849995</v>
      </c>
      <c r="K11" s="226">
        <f t="shared" ca="1" si="9"/>
        <v>3282.2564887612498</v>
      </c>
      <c r="L11" s="227">
        <f t="shared" ca="1" si="10"/>
        <v>3413.5371570299994</v>
      </c>
      <c r="M11" s="165"/>
      <c r="N11" s="42"/>
      <c r="O11" s="289">
        <v>109.2</v>
      </c>
      <c r="P11" s="291" t="s">
        <v>144</v>
      </c>
      <c r="Q11" s="291" t="s">
        <v>148</v>
      </c>
      <c r="R11" s="291" t="s">
        <v>287</v>
      </c>
      <c r="S11" s="291" t="str">
        <f t="shared" si="0"/>
        <v>04388C</v>
      </c>
      <c r="T11" s="289" t="s">
        <v>22</v>
      </c>
      <c r="U11" s="292" cm="1">
        <f t="array" aca="1" ref="U11" ca="1">IF($R11="Y",VLOOKUP($S11,INDIRECT($P$1),U$2,0)*INDIRECT($Q$1),VLOOKUP($S11,INDIRECT($P$1),U$2,0))</f>
        <v>25.693128931249998</v>
      </c>
      <c r="V11" s="292" cm="1">
        <f t="array" aca="1" ref="V11" ca="1">IF($R11="Y",VLOOKUP($S11,INDIRECT($P$1),V$2,0)*INDIRECT($Q$1),VLOOKUP($S11,INDIRECT($P$1),V$2,0))</f>
        <v>26.720766256249995</v>
      </c>
      <c r="W11" s="292" cm="1">
        <f t="array" aca="1" ref="W11" ca="1">IF($R11="Y",VLOOKUP($S11,INDIRECT($P$1),W$2,0)*INDIRECT($Q$1),VLOOKUP($S11,INDIRECT($P$1),W$2,0))</f>
        <v>27.790123899999994</v>
      </c>
      <c r="X11" s="292" cm="1">
        <f t="array" aca="1" ref="X11" ca="1">IF($R11="Y",VLOOKUP($S11,INDIRECT($P$1),X$2,0)*INDIRECT($Q$1),VLOOKUP($S11,INDIRECT($P$1),X$2,0))</f>
        <v>28.901201862499995</v>
      </c>
      <c r="Y11" s="292" cm="1">
        <f t="array" aca="1" ref="Y11" ca="1">IF($R11="Y",VLOOKUP($S11,INDIRECT($P$1),Y$2,0)*INDIRECT($Q$1),VLOOKUP($S11,INDIRECT($P$1),Y$2,0))</f>
        <v>30.057293853124996</v>
      </c>
      <c r="Z11" s="292" cm="1">
        <f t="array" aca="1" ref="Z11" ca="1">IF($R11="Y",VLOOKUP($S11,INDIRECT($P$1),Z$2,0)*INDIRECT($Q$1),VLOOKUP($S11,INDIRECT($P$1),Z$2,0))</f>
        <v>31.259497774999993</v>
      </c>
      <c r="AB11" s="203" t="str">
        <f t="shared" si="11"/>
        <v>04388C</v>
      </c>
      <c r="AC11" s="203" t="str">
        <f t="shared" si="1"/>
        <v>CFF 1</v>
      </c>
      <c r="AD11" s="203" t="str">
        <f t="shared" si="12"/>
        <v>Fire Inspector 1</v>
      </c>
      <c r="AE11" s="255">
        <f t="shared" ca="1" si="13"/>
        <v>25.693000000000001</v>
      </c>
      <c r="AF11" s="255">
        <f t="shared" ca="1" si="4"/>
        <v>26.721</v>
      </c>
      <c r="AG11" s="255">
        <f t="shared" ca="1" si="4"/>
        <v>27.79</v>
      </c>
      <c r="AH11" s="255">
        <f t="shared" ca="1" si="4"/>
        <v>28.901</v>
      </c>
      <c r="AI11" s="255">
        <f t="shared" ca="1" si="4"/>
        <v>30.056999999999999</v>
      </c>
      <c r="AJ11" s="255">
        <f t="shared" ca="1" si="4"/>
        <v>31.259</v>
      </c>
    </row>
    <row r="12" spans="1:36" ht="18.75" customHeight="1">
      <c r="A12" s="218" t="s">
        <v>23</v>
      </c>
      <c r="B12" s="64" t="s">
        <v>115</v>
      </c>
      <c r="C12" s="211" t="str">
        <f t="shared" si="2"/>
        <v>CFF 2</v>
      </c>
      <c r="D12" s="60" t="s">
        <v>24</v>
      </c>
      <c r="E12" s="60"/>
      <c r="F12" s="307" t="s">
        <v>17</v>
      </c>
      <c r="G12" s="309">
        <f t="shared" ref="G12:G21" ca="1" si="14">U12*$O12</f>
        <v>3478.0385264624997</v>
      </c>
      <c r="H12" s="226">
        <f t="shared" ref="H12:H21" ca="1" si="15">V12*$O12</f>
        <v>3614.594399666249</v>
      </c>
      <c r="I12" s="226">
        <f t="shared" ref="I12:I21" ca="1" si="16">W12*$O12</f>
        <v>3834.2347505962493</v>
      </c>
      <c r="J12" s="226"/>
      <c r="K12" s="226"/>
      <c r="L12" s="227"/>
      <c r="M12" s="165"/>
      <c r="N12" s="42"/>
      <c r="O12" s="289">
        <v>109.2</v>
      </c>
      <c r="P12" s="291" t="s">
        <v>144</v>
      </c>
      <c r="Q12" s="291" t="s">
        <v>150</v>
      </c>
      <c r="R12" s="291" t="s">
        <v>287</v>
      </c>
      <c r="S12" s="291" t="str">
        <f t="shared" si="0"/>
        <v>04420C</v>
      </c>
      <c r="T12" s="289" t="s">
        <v>24</v>
      </c>
      <c r="U12" s="292" cm="1">
        <f t="array" aca="1" ref="U12" ca="1">IF($R12="Y",VLOOKUP($S12,INDIRECT($P$1),U$2,0)*INDIRECT($Q$1),VLOOKUP($S12,INDIRECT($P$1),U$2,0))</f>
        <v>31.850169656249996</v>
      </c>
      <c r="V12" s="292" cm="1">
        <f t="array" aca="1" ref="V12" ca="1">IF($R12="Y",VLOOKUP($S12,INDIRECT($P$1),V$2,0)*INDIRECT($Q$1),VLOOKUP($S12,INDIRECT($P$1),V$2,0))</f>
        <v>33.100681315624989</v>
      </c>
      <c r="W12" s="292" cm="1">
        <f t="array" aca="1" ref="W12" ca="1">IF($R12="Y",VLOOKUP($S12,INDIRECT($P$1),W$2,0)*INDIRECT($Q$1),VLOOKUP($S12,INDIRECT($P$1),W$2,0))</f>
        <v>35.112039840624995</v>
      </c>
      <c r="X12" s="292"/>
      <c r="Y12" s="292"/>
      <c r="Z12" s="292"/>
      <c r="AB12" s="203" t="str">
        <f t="shared" si="11"/>
        <v>04420C</v>
      </c>
      <c r="AC12" s="203" t="str">
        <f t="shared" si="1"/>
        <v>CFF 2</v>
      </c>
      <c r="AD12" s="203" t="str">
        <f t="shared" si="12"/>
        <v>Fire Motor Operator</v>
      </c>
      <c r="AE12" s="255">
        <f t="shared" ca="1" si="13"/>
        <v>31.85</v>
      </c>
      <c r="AF12" s="255">
        <f t="shared" ca="1" si="4"/>
        <v>33.100999999999999</v>
      </c>
      <c r="AG12" s="255">
        <f t="shared" ca="1" si="4"/>
        <v>35.112000000000002</v>
      </c>
      <c r="AH12" s="203"/>
      <c r="AI12" s="203"/>
      <c r="AJ12" s="203"/>
    </row>
    <row r="13" spans="1:36" ht="18.75" customHeight="1">
      <c r="A13" s="218" t="s">
        <v>195</v>
      </c>
      <c r="B13" s="64" t="s">
        <v>115</v>
      </c>
      <c r="C13" s="211" t="str">
        <f t="shared" si="2"/>
        <v>CFG 2</v>
      </c>
      <c r="D13" s="60" t="s">
        <v>26</v>
      </c>
      <c r="E13" s="60"/>
      <c r="F13" s="307" t="s">
        <v>17</v>
      </c>
      <c r="G13" s="309">
        <f t="shared" ca="1" si="14"/>
        <v>3478.0692677499983</v>
      </c>
      <c r="H13" s="226">
        <f t="shared" ca="1" si="15"/>
        <v>3614.6484164999988</v>
      </c>
      <c r="I13" s="226">
        <f t="shared" ca="1" si="16"/>
        <v>3834.2290414999984</v>
      </c>
      <c r="J13" s="226"/>
      <c r="K13" s="226"/>
      <c r="L13" s="227"/>
      <c r="M13" s="165"/>
      <c r="N13" s="42"/>
      <c r="O13" s="289">
        <v>80</v>
      </c>
      <c r="P13" s="291" t="s">
        <v>143</v>
      </c>
      <c r="Q13" s="291" t="s">
        <v>151</v>
      </c>
      <c r="R13" s="291" t="s">
        <v>287</v>
      </c>
      <c r="S13" s="291" t="str">
        <f t="shared" si="0"/>
        <v>04421C</v>
      </c>
      <c r="T13" s="289" t="s">
        <v>26</v>
      </c>
      <c r="U13" s="292" cm="1">
        <f t="array" aca="1" ref="U13" ca="1">IF($R13="Y",VLOOKUP($S13,INDIRECT($P$1),U$2,0)*INDIRECT($Q$1),VLOOKUP($S13,INDIRECT($P$1),U$2,0))</f>
        <v>43.475865846874981</v>
      </c>
      <c r="V13" s="292" cm="1">
        <f t="array" aca="1" ref="V13" ca="1">IF($R13="Y",VLOOKUP($S13,INDIRECT($P$1),V$2,0)*INDIRECT($Q$1),VLOOKUP($S13,INDIRECT($P$1),V$2,0))</f>
        <v>45.183105206249984</v>
      </c>
      <c r="W13" s="292" cm="1">
        <f t="array" aca="1" ref="W13" ca="1">IF($R13="Y",VLOOKUP($S13,INDIRECT($P$1),W$2,0)*INDIRECT($Q$1),VLOOKUP($S13,INDIRECT($P$1),W$2,0))</f>
        <v>47.927863018749981</v>
      </c>
      <c r="X13" s="292"/>
      <c r="Y13" s="292"/>
      <c r="Z13" s="292"/>
      <c r="AB13" s="203" t="str">
        <f t="shared" si="11"/>
        <v>04421C</v>
      </c>
      <c r="AC13" s="203" t="str">
        <f t="shared" si="1"/>
        <v>CFG 2</v>
      </c>
      <c r="AD13" s="203" t="str">
        <f t="shared" si="12"/>
        <v>Fire Motor Operator (40 hrs.)</v>
      </c>
      <c r="AE13" s="255">
        <f t="shared" ca="1" si="13"/>
        <v>43.475999999999999</v>
      </c>
      <c r="AF13" s="255">
        <f t="shared" ca="1" si="4"/>
        <v>45.183</v>
      </c>
      <c r="AG13" s="255">
        <f t="shared" ca="1" si="4"/>
        <v>47.927999999999997</v>
      </c>
      <c r="AH13" s="203"/>
      <c r="AI13" s="203"/>
      <c r="AJ13" s="203"/>
    </row>
    <row r="14" spans="1:36" ht="18.75" customHeight="1">
      <c r="A14" s="218" t="s">
        <v>27</v>
      </c>
      <c r="B14" s="64" t="s">
        <v>115</v>
      </c>
      <c r="C14" s="211" t="str">
        <f t="shared" si="2"/>
        <v>CFF 2</v>
      </c>
      <c r="D14" s="60" t="s">
        <v>28</v>
      </c>
      <c r="E14" s="60"/>
      <c r="F14" s="307" t="s">
        <v>17</v>
      </c>
      <c r="G14" s="309">
        <f t="shared" ca="1" si="14"/>
        <v>3478.0385264624997</v>
      </c>
      <c r="H14" s="226">
        <f t="shared" ca="1" si="15"/>
        <v>3614.594399666249</v>
      </c>
      <c r="I14" s="226">
        <f t="shared" ca="1" si="16"/>
        <v>3834.2347505962493</v>
      </c>
      <c r="J14" s="226"/>
      <c r="K14" s="226"/>
      <c r="L14" s="227"/>
      <c r="M14" s="165"/>
      <c r="N14" s="42"/>
      <c r="O14" s="289">
        <v>109.2</v>
      </c>
      <c r="P14" s="291" t="s">
        <v>144</v>
      </c>
      <c r="Q14" s="291" t="s">
        <v>150</v>
      </c>
      <c r="R14" s="291" t="s">
        <v>287</v>
      </c>
      <c r="S14" s="291" t="str">
        <f t="shared" si="0"/>
        <v>04389C</v>
      </c>
      <c r="T14" s="289" t="s">
        <v>28</v>
      </c>
      <c r="U14" s="292" cm="1">
        <f t="array" aca="1" ref="U14" ca="1">IF($R14="Y",VLOOKUP($S14,INDIRECT($P$1),U$2,0)*INDIRECT($Q$1),VLOOKUP($S14,INDIRECT($P$1),U$2,0))</f>
        <v>31.850169656249996</v>
      </c>
      <c r="V14" s="292" cm="1">
        <f t="array" aca="1" ref="V14" ca="1">IF($R14="Y",VLOOKUP($S14,INDIRECT($P$1),V$2,0)*INDIRECT($Q$1),VLOOKUP($S14,INDIRECT($P$1),V$2,0))</f>
        <v>33.100681315624989</v>
      </c>
      <c r="W14" s="292" cm="1">
        <f t="array" aca="1" ref="W14" ca="1">IF($R14="Y",VLOOKUP($S14,INDIRECT($P$1),W$2,0)*INDIRECT($Q$1),VLOOKUP($S14,INDIRECT($P$1),W$2,0))</f>
        <v>35.112039840624995</v>
      </c>
      <c r="X14" s="292"/>
      <c r="Y14" s="292"/>
      <c r="Z14" s="292"/>
      <c r="AB14" s="203" t="str">
        <f t="shared" si="11"/>
        <v>04389C</v>
      </c>
      <c r="AC14" s="203" t="str">
        <f t="shared" si="1"/>
        <v>CFF 2</v>
      </c>
      <c r="AD14" s="203" t="str">
        <f t="shared" si="12"/>
        <v>Fire Inspector 2</v>
      </c>
      <c r="AE14" s="255">
        <f t="shared" ca="1" si="13"/>
        <v>31.85</v>
      </c>
      <c r="AF14" s="255">
        <f t="shared" ca="1" si="4"/>
        <v>33.100999999999999</v>
      </c>
      <c r="AG14" s="255">
        <f t="shared" ca="1" si="4"/>
        <v>35.112000000000002</v>
      </c>
      <c r="AH14" s="203"/>
      <c r="AI14" s="203"/>
      <c r="AJ14" s="203"/>
    </row>
    <row r="15" spans="1:36" ht="18.75" customHeight="1">
      <c r="A15" s="218" t="s">
        <v>29</v>
      </c>
      <c r="B15" s="64" t="s">
        <v>115</v>
      </c>
      <c r="C15" s="211" t="str">
        <f t="shared" si="2"/>
        <v>CFF 3</v>
      </c>
      <c r="D15" s="60" t="s">
        <v>30</v>
      </c>
      <c r="E15" s="60"/>
      <c r="F15" s="307" t="s">
        <v>17</v>
      </c>
      <c r="G15" s="309">
        <f t="shared" ca="1" si="14"/>
        <v>3942.3764517637487</v>
      </c>
      <c r="H15" s="226">
        <f t="shared" ca="1" si="15"/>
        <v>4098.7143434737491</v>
      </c>
      <c r="I15" s="226">
        <f t="shared" ca="1" si="16"/>
        <v>4349.5263599287482</v>
      </c>
      <c r="J15" s="226"/>
      <c r="K15" s="226"/>
      <c r="L15" s="227"/>
      <c r="M15" s="165"/>
      <c r="N15" s="42"/>
      <c r="O15" s="289">
        <v>109.2</v>
      </c>
      <c r="P15" s="291" t="s">
        <v>144</v>
      </c>
      <c r="Q15" s="291" t="s">
        <v>152</v>
      </c>
      <c r="R15" s="291" t="s">
        <v>287</v>
      </c>
      <c r="S15" s="291" t="str">
        <f t="shared" si="0"/>
        <v>04370C</v>
      </c>
      <c r="T15" s="289" t="s">
        <v>30</v>
      </c>
      <c r="U15" s="292" cm="1">
        <f t="array" aca="1" ref="U15" ca="1">IF($R15="Y",VLOOKUP($S15,INDIRECT($P$1),U$2,0)*INDIRECT($Q$1),VLOOKUP($S15,INDIRECT($P$1),U$2,0))</f>
        <v>36.102348459374987</v>
      </c>
      <c r="V15" s="292" cm="1">
        <f t="array" aca="1" ref="V15" ca="1">IF($R15="Y",VLOOKUP($S15,INDIRECT($P$1),V$2,0)*INDIRECT($Q$1),VLOOKUP($S15,INDIRECT($P$1),V$2,0))</f>
        <v>37.534014134374992</v>
      </c>
      <c r="W15" s="292" cm="1">
        <f t="array" aca="1" ref="W15" ca="1">IF($R15="Y",VLOOKUP($S15,INDIRECT($P$1),W$2,0)*INDIRECT($Q$1),VLOOKUP($S15,INDIRECT($P$1),W$2,0))</f>
        <v>39.830827471874983</v>
      </c>
      <c r="X15" s="292"/>
      <c r="Y15" s="292"/>
      <c r="Z15" s="292"/>
      <c r="AB15" s="203" t="str">
        <f t="shared" si="11"/>
        <v>04370C</v>
      </c>
      <c r="AC15" s="203" t="str">
        <f t="shared" si="1"/>
        <v>CFF 3</v>
      </c>
      <c r="AD15" s="203" t="str">
        <f t="shared" si="12"/>
        <v>Fire Captain</v>
      </c>
      <c r="AE15" s="255">
        <f t="shared" ca="1" si="13"/>
        <v>36.101999999999997</v>
      </c>
      <c r="AF15" s="255">
        <f t="shared" ca="1" si="4"/>
        <v>37.533999999999999</v>
      </c>
      <c r="AG15" s="255">
        <f t="shared" ca="1" si="4"/>
        <v>39.831000000000003</v>
      </c>
      <c r="AH15" s="203"/>
      <c r="AI15" s="203"/>
      <c r="AJ15" s="203"/>
    </row>
    <row r="16" spans="1:36" ht="18.75" customHeight="1">
      <c r="A16" s="218" t="s">
        <v>31</v>
      </c>
      <c r="B16" s="64" t="s">
        <v>115</v>
      </c>
      <c r="C16" s="211" t="str">
        <f t="shared" si="2"/>
        <v>CFG 3</v>
      </c>
      <c r="D16" s="60" t="s">
        <v>32</v>
      </c>
      <c r="E16" s="60"/>
      <c r="F16" s="307" t="s">
        <v>17</v>
      </c>
      <c r="G16" s="309">
        <f t="shared" ca="1" si="14"/>
        <v>3942.350541249999</v>
      </c>
      <c r="H16" s="226">
        <f t="shared" ca="1" si="15"/>
        <v>4098.6919462499991</v>
      </c>
      <c r="I16" s="226">
        <f t="shared" ca="1" si="16"/>
        <v>4349.5408522499993</v>
      </c>
      <c r="J16" s="226"/>
      <c r="K16" s="226"/>
      <c r="L16" s="227"/>
      <c r="M16" s="165"/>
      <c r="N16" s="42"/>
      <c r="O16" s="289">
        <v>80</v>
      </c>
      <c r="P16" s="291" t="s">
        <v>143</v>
      </c>
      <c r="Q16" s="291" t="s">
        <v>153</v>
      </c>
      <c r="R16" s="291" t="s">
        <v>287</v>
      </c>
      <c r="S16" s="291" t="str">
        <f t="shared" si="0"/>
        <v>04371C</v>
      </c>
      <c r="T16" s="289" t="s">
        <v>32</v>
      </c>
      <c r="U16" s="292" cm="1">
        <f t="array" aca="1" ref="U16" ca="1">IF($R16="Y",VLOOKUP($S16,INDIRECT($P$1),U$2,0)*INDIRECT($Q$1),VLOOKUP($S16,INDIRECT($P$1),U$2,0))</f>
        <v>49.27938176562499</v>
      </c>
      <c r="V16" s="292" cm="1">
        <f t="array" aca="1" ref="V16" ca="1">IF($R16="Y",VLOOKUP($S16,INDIRECT($P$1),V$2,0)*INDIRECT($Q$1),VLOOKUP($S16,INDIRECT($P$1),V$2,0))</f>
        <v>51.233649328124983</v>
      </c>
      <c r="W16" s="292" cm="1">
        <f t="array" aca="1" ref="W16" ca="1">IF($R16="Y",VLOOKUP($S16,INDIRECT($P$1),W$2,0)*INDIRECT($Q$1),VLOOKUP($S16,INDIRECT($P$1),W$2,0))</f>
        <v>54.369260653124989</v>
      </c>
      <c r="X16" s="292"/>
      <c r="Y16" s="292"/>
      <c r="Z16" s="292"/>
      <c r="AB16" s="203" t="str">
        <f t="shared" si="11"/>
        <v>04371C</v>
      </c>
      <c r="AC16" s="203" t="str">
        <f t="shared" si="1"/>
        <v>CFG 3</v>
      </c>
      <c r="AD16" s="203" t="str">
        <f t="shared" si="12"/>
        <v>Fire Captain (40 hrs.)</v>
      </c>
      <c r="AE16" s="255">
        <f t="shared" ca="1" si="13"/>
        <v>49.279000000000003</v>
      </c>
      <c r="AF16" s="255">
        <f t="shared" ca="1" si="4"/>
        <v>51.234000000000002</v>
      </c>
      <c r="AG16" s="255">
        <f t="shared" ca="1" si="4"/>
        <v>54.369</v>
      </c>
      <c r="AH16" s="203"/>
      <c r="AI16" s="203"/>
      <c r="AJ16" s="203"/>
    </row>
    <row r="17" spans="1:36" ht="18.75" customHeight="1">
      <c r="A17" s="218" t="s">
        <v>33</v>
      </c>
      <c r="B17" s="64" t="s">
        <v>115</v>
      </c>
      <c r="C17" s="211" t="str">
        <f t="shared" si="2"/>
        <v>CFF 3</v>
      </c>
      <c r="D17" s="60" t="s">
        <v>34</v>
      </c>
      <c r="E17" s="60"/>
      <c r="F17" s="307" t="s">
        <v>17</v>
      </c>
      <c r="G17" s="309">
        <f t="shared" ca="1" si="14"/>
        <v>3942.3764517637487</v>
      </c>
      <c r="H17" s="226">
        <f t="shared" ca="1" si="15"/>
        <v>4098.7143434737491</v>
      </c>
      <c r="I17" s="226">
        <f t="shared" ca="1" si="16"/>
        <v>4349.5263599287482</v>
      </c>
      <c r="J17" s="226"/>
      <c r="K17" s="226"/>
      <c r="L17" s="227"/>
      <c r="M17" s="165"/>
      <c r="N17" s="42"/>
      <c r="O17" s="289">
        <v>109.2</v>
      </c>
      <c r="P17" s="291" t="s">
        <v>144</v>
      </c>
      <c r="Q17" s="291" t="s">
        <v>152</v>
      </c>
      <c r="R17" s="291" t="s">
        <v>287</v>
      </c>
      <c r="S17" s="291" t="str">
        <f t="shared" si="0"/>
        <v>04400C</v>
      </c>
      <c r="T17" s="289" t="s">
        <v>34</v>
      </c>
      <c r="U17" s="292" cm="1">
        <f t="array" aca="1" ref="U17" ca="1">IF($R17="Y",VLOOKUP($S17,INDIRECT($P$1),U$2,0)*INDIRECT($Q$1),VLOOKUP($S17,INDIRECT($P$1),U$2,0))</f>
        <v>36.102348459374987</v>
      </c>
      <c r="V17" s="292" cm="1">
        <f t="array" aca="1" ref="V17" ca="1">IF($R17="Y",VLOOKUP($S17,INDIRECT($P$1),V$2,0)*INDIRECT($Q$1),VLOOKUP($S17,INDIRECT($P$1),V$2,0))</f>
        <v>37.534014134374992</v>
      </c>
      <c r="W17" s="292" cm="1">
        <f t="array" aca="1" ref="W17" ca="1">IF($R17="Y",VLOOKUP($S17,INDIRECT($P$1),W$2,0)*INDIRECT($Q$1),VLOOKUP($S17,INDIRECT($P$1),W$2,0))</f>
        <v>39.830827471874983</v>
      </c>
      <c r="X17" s="292"/>
      <c r="Y17" s="292"/>
      <c r="Z17" s="292"/>
      <c r="AB17" s="203" t="str">
        <f t="shared" si="11"/>
        <v>04400C</v>
      </c>
      <c r="AC17" s="203" t="str">
        <f t="shared" si="1"/>
        <v>CFF 3</v>
      </c>
      <c r="AD17" s="203" t="str">
        <f t="shared" si="12"/>
        <v>Fire Investigator</v>
      </c>
      <c r="AE17" s="255">
        <f t="shared" ca="1" si="13"/>
        <v>36.101999999999997</v>
      </c>
      <c r="AF17" s="255">
        <f t="shared" ca="1" si="4"/>
        <v>37.533999999999999</v>
      </c>
      <c r="AG17" s="255">
        <f t="shared" ca="1" si="4"/>
        <v>39.831000000000003</v>
      </c>
      <c r="AH17" s="203"/>
      <c r="AI17" s="203"/>
      <c r="AJ17" s="203"/>
    </row>
    <row r="18" spans="1:36" ht="18.75" customHeight="1">
      <c r="A18" s="218" t="s">
        <v>35</v>
      </c>
      <c r="B18" s="64" t="s">
        <v>115</v>
      </c>
      <c r="C18" s="211" t="str">
        <f t="shared" si="2"/>
        <v>CFG 3</v>
      </c>
      <c r="D18" s="60" t="s">
        <v>36</v>
      </c>
      <c r="E18" s="60"/>
      <c r="F18" s="307" t="s">
        <v>17</v>
      </c>
      <c r="G18" s="309">
        <f t="shared" ca="1" si="14"/>
        <v>3942.350541249999</v>
      </c>
      <c r="H18" s="226">
        <f t="shared" ca="1" si="15"/>
        <v>4098.6919462499991</v>
      </c>
      <c r="I18" s="226">
        <f t="shared" ca="1" si="16"/>
        <v>4349.5408522499993</v>
      </c>
      <c r="J18" s="226"/>
      <c r="K18" s="226"/>
      <c r="L18" s="227"/>
      <c r="M18" s="165"/>
      <c r="N18" s="42"/>
      <c r="O18" s="289">
        <v>80</v>
      </c>
      <c r="P18" s="291" t="s">
        <v>143</v>
      </c>
      <c r="Q18" s="291" t="s">
        <v>153</v>
      </c>
      <c r="R18" s="291" t="s">
        <v>287</v>
      </c>
      <c r="S18" s="291" t="str">
        <f t="shared" si="0"/>
        <v>04401C</v>
      </c>
      <c r="T18" s="289" t="s">
        <v>36</v>
      </c>
      <c r="U18" s="292" cm="1">
        <f t="array" aca="1" ref="U18" ca="1">IF($R18="Y",VLOOKUP($S18,INDIRECT($P$1),U$2,0)*INDIRECT($Q$1),VLOOKUP($S18,INDIRECT($P$1),U$2,0))</f>
        <v>49.27938176562499</v>
      </c>
      <c r="V18" s="292" cm="1">
        <f t="array" aca="1" ref="V18" ca="1">IF($R18="Y",VLOOKUP($S18,INDIRECT($P$1),V$2,0)*INDIRECT($Q$1),VLOOKUP($S18,INDIRECT($P$1),V$2,0))</f>
        <v>51.233649328124983</v>
      </c>
      <c r="W18" s="292" cm="1">
        <f t="array" aca="1" ref="W18" ca="1">IF($R18="Y",VLOOKUP($S18,INDIRECT($P$1),W$2,0)*INDIRECT($Q$1),VLOOKUP($S18,INDIRECT($P$1),W$2,0))</f>
        <v>54.369260653124989</v>
      </c>
      <c r="X18" s="292"/>
      <c r="Y18" s="292"/>
      <c r="Z18" s="292"/>
      <c r="AB18" s="203" t="str">
        <f t="shared" si="11"/>
        <v>04401C</v>
      </c>
      <c r="AC18" s="203" t="str">
        <f t="shared" si="1"/>
        <v>CFG 3</v>
      </c>
      <c r="AD18" s="203" t="str">
        <f t="shared" si="12"/>
        <v>Fire Investigator (40 hrs.)</v>
      </c>
      <c r="AE18" s="255">
        <f t="shared" ca="1" si="13"/>
        <v>49.279000000000003</v>
      </c>
      <c r="AF18" s="255">
        <f t="shared" ca="1" si="4"/>
        <v>51.234000000000002</v>
      </c>
      <c r="AG18" s="255">
        <f t="shared" ca="1" si="4"/>
        <v>54.369</v>
      </c>
      <c r="AH18" s="203"/>
      <c r="AI18" s="203"/>
      <c r="AJ18" s="203"/>
    </row>
    <row r="19" spans="1:36" ht="18.75" customHeight="1">
      <c r="A19" s="218" t="s">
        <v>37</v>
      </c>
      <c r="B19" s="64" t="s">
        <v>115</v>
      </c>
      <c r="C19" s="211" t="str">
        <f t="shared" si="2"/>
        <v>CFF 3</v>
      </c>
      <c r="D19" s="60" t="s">
        <v>38</v>
      </c>
      <c r="E19" s="60"/>
      <c r="F19" s="307" t="s">
        <v>17</v>
      </c>
      <c r="G19" s="309">
        <f t="shared" ca="1" si="14"/>
        <v>3942.3764517637487</v>
      </c>
      <c r="H19" s="226">
        <f t="shared" ca="1" si="15"/>
        <v>4098.7143434737491</v>
      </c>
      <c r="I19" s="226">
        <f t="shared" ca="1" si="16"/>
        <v>4349.5263599287482</v>
      </c>
      <c r="J19" s="226"/>
      <c r="K19" s="226"/>
      <c r="L19" s="227"/>
      <c r="M19" s="165"/>
      <c r="N19" s="42"/>
      <c r="O19" s="289">
        <v>109.2</v>
      </c>
      <c r="P19" s="291" t="s">
        <v>144</v>
      </c>
      <c r="Q19" s="291" t="s">
        <v>152</v>
      </c>
      <c r="R19" s="291" t="s">
        <v>287</v>
      </c>
      <c r="S19" s="291" t="str">
        <f t="shared" si="0"/>
        <v>04390C</v>
      </c>
      <c r="T19" s="289" t="s">
        <v>38</v>
      </c>
      <c r="U19" s="292" cm="1">
        <f t="array" aca="1" ref="U19" ca="1">IF($R19="Y",VLOOKUP($S19,INDIRECT($P$1),U$2,0)*INDIRECT($Q$1),VLOOKUP($S19,INDIRECT($P$1),U$2,0))</f>
        <v>36.102348459374987</v>
      </c>
      <c r="V19" s="292" cm="1">
        <f t="array" aca="1" ref="V19" ca="1">IF($R19="Y",VLOOKUP($S19,INDIRECT($P$1),V$2,0)*INDIRECT($Q$1),VLOOKUP($S19,INDIRECT($P$1),V$2,0))</f>
        <v>37.534014134374992</v>
      </c>
      <c r="W19" s="292" cm="1">
        <f t="array" aca="1" ref="W19" ca="1">IF($R19="Y",VLOOKUP($S19,INDIRECT($P$1),W$2,0)*INDIRECT($Q$1),VLOOKUP($S19,INDIRECT($P$1),W$2,0))</f>
        <v>39.830827471874983</v>
      </c>
      <c r="X19" s="292"/>
      <c r="Y19" s="292"/>
      <c r="Z19" s="292"/>
      <c r="AB19" s="203" t="str">
        <f t="shared" si="11"/>
        <v>04390C</v>
      </c>
      <c r="AC19" s="203" t="str">
        <f t="shared" si="1"/>
        <v>CFF 3</v>
      </c>
      <c r="AD19" s="203" t="str">
        <f t="shared" si="12"/>
        <v>Fire Inspector 3</v>
      </c>
      <c r="AE19" s="255">
        <f t="shared" ca="1" si="13"/>
        <v>36.101999999999997</v>
      </c>
      <c r="AF19" s="255">
        <f t="shared" ca="1" si="4"/>
        <v>37.533999999999999</v>
      </c>
      <c r="AG19" s="255">
        <f t="shared" ca="1" si="4"/>
        <v>39.831000000000003</v>
      </c>
      <c r="AH19" s="203"/>
      <c r="AI19" s="203"/>
      <c r="AJ19" s="203"/>
    </row>
    <row r="20" spans="1:36" ht="18.75" customHeight="1">
      <c r="A20" s="218" t="s">
        <v>41</v>
      </c>
      <c r="B20" s="64" t="s">
        <v>115</v>
      </c>
      <c r="C20" s="211" t="str">
        <f t="shared" si="2"/>
        <v>CFF 4</v>
      </c>
      <c r="D20" s="66" t="s">
        <v>113</v>
      </c>
      <c r="E20" s="60"/>
      <c r="F20" s="307" t="s">
        <v>17</v>
      </c>
      <c r="G20" s="309">
        <f t="shared" ca="1" si="14"/>
        <v>4034.9323201687498</v>
      </c>
      <c r="H20" s="226">
        <f t="shared" ca="1" si="15"/>
        <v>4103.2702022812491</v>
      </c>
      <c r="I20" s="226">
        <f t="shared" ca="1" si="16"/>
        <v>4173.0467766487491</v>
      </c>
      <c r="J20" s="226">
        <f t="shared" ref="J20:J21" ca="1" si="17">X20*$O20</f>
        <v>4242.823351016249</v>
      </c>
      <c r="K20" s="226">
        <f t="shared" ref="K20:K21" ca="1" si="18">Y20*$O20</f>
        <v>4501.668065894999</v>
      </c>
      <c r="L20" s="227"/>
      <c r="M20" s="165"/>
      <c r="N20" s="42"/>
      <c r="O20" s="289">
        <v>109.2</v>
      </c>
      <c r="P20" s="291" t="s">
        <v>144</v>
      </c>
      <c r="Q20" s="291" t="s">
        <v>154</v>
      </c>
      <c r="R20" s="291" t="s">
        <v>287</v>
      </c>
      <c r="S20" s="291" t="str">
        <f t="shared" si="0"/>
        <v>04436C</v>
      </c>
      <c r="T20" s="293" t="s">
        <v>113</v>
      </c>
      <c r="U20" s="292" cm="1">
        <f t="array" aca="1" ref="U20" ca="1">IF($R20="Y",VLOOKUP($S20,INDIRECT($P$1),U$2,0)*INDIRECT($Q$1),VLOOKUP($S20,INDIRECT($P$1),U$2,0))</f>
        <v>36.949929671874997</v>
      </c>
      <c r="V20" s="292" cm="1">
        <f t="array" aca="1" ref="V20" ca="1">IF($R20="Y",VLOOKUP($S20,INDIRECT($P$1),V$2,0)*INDIRECT($Q$1),VLOOKUP($S20,INDIRECT($P$1),V$2,0))</f>
        <v>37.575734453124987</v>
      </c>
      <c r="W20" s="292" cm="1">
        <f t="array" aca="1" ref="W20" ca="1">IF($R20="Y",VLOOKUP($S20,INDIRECT($P$1),W$2,0)*INDIRECT($Q$1),VLOOKUP($S20,INDIRECT($P$1),W$2,0))</f>
        <v>38.214714071874987</v>
      </c>
      <c r="X20" s="292" cm="1">
        <f t="array" aca="1" ref="X20" ca="1">IF($R20="Y",VLOOKUP($S20,INDIRECT($P$1),X$2,0)*INDIRECT($Q$1),VLOOKUP($S20,INDIRECT($P$1),X$2,0))</f>
        <v>38.853693690624986</v>
      </c>
      <c r="Y20" s="292" cm="1">
        <f t="array" aca="1" ref="Y20" ca="1">IF($R20="Y",VLOOKUP($S20,INDIRECT($P$1),Y$2,0)*INDIRECT($Q$1),VLOOKUP($S20,INDIRECT($P$1),Y$2,0))</f>
        <v>41.224066537499986</v>
      </c>
      <c r="Z20" s="292"/>
      <c r="AB20" s="203" t="str">
        <f t="shared" si="11"/>
        <v>04436C</v>
      </c>
      <c r="AC20" s="203" t="str">
        <f t="shared" si="1"/>
        <v>CFF 4</v>
      </c>
      <c r="AD20" s="203" t="str">
        <f t="shared" si="12"/>
        <v xml:space="preserve">Fire Staff Captain </v>
      </c>
      <c r="AE20" s="255">
        <f t="shared" ca="1" si="13"/>
        <v>36.950000000000003</v>
      </c>
      <c r="AF20" s="255">
        <f t="shared" ca="1" si="4"/>
        <v>37.576000000000001</v>
      </c>
      <c r="AG20" s="255">
        <f t="shared" ca="1" si="4"/>
        <v>38.215000000000003</v>
      </c>
      <c r="AH20" s="255">
        <f t="shared" ca="1" si="4"/>
        <v>38.853999999999999</v>
      </c>
      <c r="AI20" s="203"/>
      <c r="AJ20" s="203"/>
    </row>
    <row r="21" spans="1:36" ht="18.75" customHeight="1" thickBot="1">
      <c r="A21" s="219" t="s">
        <v>39</v>
      </c>
      <c r="B21" s="220" t="s">
        <v>115</v>
      </c>
      <c r="C21" s="220" t="str">
        <f t="shared" si="2"/>
        <v>CFG 4</v>
      </c>
      <c r="D21" s="221" t="s">
        <v>42</v>
      </c>
      <c r="E21" s="222"/>
      <c r="F21" s="308" t="s">
        <v>17</v>
      </c>
      <c r="G21" s="310">
        <f t="shared" ca="1" si="14"/>
        <v>4034.925732749999</v>
      </c>
      <c r="H21" s="228">
        <f t="shared" ca="1" si="15"/>
        <v>4103.2592232499992</v>
      </c>
      <c r="I21" s="228">
        <f t="shared" ca="1" si="16"/>
        <v>4173.085861999999</v>
      </c>
      <c r="J21" s="228">
        <f t="shared" ca="1" si="17"/>
        <v>4242.8246684999986</v>
      </c>
      <c r="K21" s="228">
        <f t="shared" ca="1" si="18"/>
        <v>4501.6663092499984</v>
      </c>
      <c r="L21" s="229"/>
      <c r="M21" s="165"/>
      <c r="N21" s="42"/>
      <c r="O21" s="289">
        <v>80</v>
      </c>
      <c r="P21" s="291" t="s">
        <v>143</v>
      </c>
      <c r="Q21" s="291" t="s">
        <v>155</v>
      </c>
      <c r="R21" s="291" t="s">
        <v>287</v>
      </c>
      <c r="S21" s="291" t="str">
        <f t="shared" si="0"/>
        <v>04435C</v>
      </c>
      <c r="T21" s="289" t="s">
        <v>42</v>
      </c>
      <c r="U21" s="292" cm="1">
        <f t="array" aca="1" ref="U21" ca="1">IF($R21="Y",VLOOKUP($S21,INDIRECT($P$1),U$2,0)*INDIRECT($Q$1),VLOOKUP($S21,INDIRECT($P$1),U$2,0))</f>
        <v>50.436571659374991</v>
      </c>
      <c r="V21" s="292" cm="1">
        <f t="array" aca="1" ref="V21" ca="1">IF($R21="Y",VLOOKUP($S21,INDIRECT($P$1),V$2,0)*INDIRECT($Q$1),VLOOKUP($S21,INDIRECT($P$1),V$2,0))</f>
        <v>51.290740290624989</v>
      </c>
      <c r="W21" s="292" cm="1">
        <f t="array" aca="1" ref="W21" ca="1">IF($R21="Y",VLOOKUP($S21,INDIRECT($P$1),W$2,0)*INDIRECT($Q$1),VLOOKUP($S21,INDIRECT($P$1),W$2,0))</f>
        <v>52.163573274999983</v>
      </c>
      <c r="X21" s="292" cm="1">
        <f t="array" aca="1" ref="X21" ca="1">IF($R21="Y",VLOOKUP($S21,INDIRECT($P$1),X$2,0)*INDIRECT($Q$1),VLOOKUP($S21,INDIRECT($P$1),X$2,0))</f>
        <v>53.035308356249985</v>
      </c>
      <c r="Y21" s="292" cm="1">
        <f t="array" aca="1" ref="Y21" ca="1">IF($R21="Y",VLOOKUP($S21,INDIRECT($P$1),Y$2,0)*INDIRECT($Q$1),VLOOKUP($S21,INDIRECT($P$1),Y$2,0))</f>
        <v>56.270828865624985</v>
      </c>
      <c r="Z21" s="292"/>
      <c r="AB21" s="203" t="str">
        <f t="shared" si="11"/>
        <v>04435C</v>
      </c>
      <c r="AC21" s="203" t="str">
        <f t="shared" si="1"/>
        <v>CFG 4</v>
      </c>
      <c r="AD21" s="203" t="str">
        <f t="shared" si="12"/>
        <v>Fire Staff Captain (40 hrs.)</v>
      </c>
      <c r="AE21" s="255">
        <f t="shared" ca="1" si="13"/>
        <v>50.436999999999998</v>
      </c>
      <c r="AF21" s="255">
        <f t="shared" ca="1" si="4"/>
        <v>51.290999999999997</v>
      </c>
      <c r="AG21" s="255">
        <f t="shared" ca="1" si="4"/>
        <v>52.164000000000001</v>
      </c>
      <c r="AH21" s="255">
        <f t="shared" ca="1" si="4"/>
        <v>53.034999999999997</v>
      </c>
      <c r="AI21" s="203"/>
      <c r="AJ21" s="203"/>
    </row>
    <row r="22" spans="1:36" ht="18.75" customHeight="1">
      <c r="A22"/>
      <c r="B22"/>
      <c r="C22"/>
      <c r="D22"/>
      <c r="E22"/>
      <c r="F22"/>
      <c r="G22"/>
      <c r="H22"/>
      <c r="I22"/>
      <c r="J22"/>
      <c r="K22"/>
      <c r="L22"/>
      <c r="M22" s="165"/>
      <c r="N22" s="42"/>
      <c r="O22" s="289">
        <v>109.2</v>
      </c>
      <c r="P22" s="291" t="s">
        <v>284</v>
      </c>
      <c r="Q22" s="291" t="s">
        <v>235</v>
      </c>
      <c r="R22" s="291" t="s">
        <v>287</v>
      </c>
      <c r="S22" s="291" t="s">
        <v>280</v>
      </c>
      <c r="T22" s="289" t="s">
        <v>281</v>
      </c>
      <c r="U22" s="292" cm="1">
        <f t="array" aca="1" ref="U22" ca="1">IF($R22="Y",VLOOKUP($S22,INDIRECT($P$1),U$2,0)*INDIRECT($Q$1),VLOOKUP($S22,INDIRECT($P$1),U$2,0))</f>
        <v>25.693128931249998</v>
      </c>
      <c r="V22" s="292" cm="1">
        <f t="array" aca="1" ref="V22" ca="1">IF($R22="Y",VLOOKUP($S22,INDIRECT($P$1),V$2,0)*INDIRECT($Q$1),VLOOKUP($S22,INDIRECT($P$1),V$2,0))</f>
        <v>26.720766256249995</v>
      </c>
      <c r="W22" s="292" cm="1">
        <f t="array" aca="1" ref="W22" ca="1">IF($R22="Y",VLOOKUP($S22,INDIRECT($P$1),W$2,0)*INDIRECT($Q$1),VLOOKUP($S22,INDIRECT($P$1),W$2,0))</f>
        <v>27.790123899999994</v>
      </c>
      <c r="X22" s="292" cm="1">
        <f t="array" aca="1" ref="X22" ca="1">IF($R22="Y",VLOOKUP($S22,INDIRECT($P$1),X$2,0)*INDIRECT($Q$1),VLOOKUP($S22,INDIRECT($P$1),X$2,0))</f>
        <v>28.901201862499995</v>
      </c>
      <c r="Y22" s="292" cm="1">
        <f t="array" aca="1" ref="Y22" ca="1">IF($R22="Y",VLOOKUP($S22,INDIRECT($P$1),Y$2,0)*INDIRECT($Q$1),VLOOKUP($S22,INDIRECT($P$1),Y$2,0))</f>
        <v>30.057293853124996</v>
      </c>
      <c r="Z22" s="292" cm="1">
        <f t="array" aca="1" ref="Z22" ca="1">IF($R22="Y",VLOOKUP($S22,INDIRECT($P$1),Z$2,0)*INDIRECT($Q$1),VLOOKUP($S22,INDIRECT($P$1),Z$2,0))</f>
        <v>31.259497774999993</v>
      </c>
      <c r="AA22" s="248" t="s">
        <v>283</v>
      </c>
      <c r="AB22" s="203" t="str">
        <f t="shared" si="11"/>
        <v>04452C</v>
      </c>
      <c r="AC22" s="203" t="str">
        <f>Q22</f>
        <v>CFH 1</v>
      </c>
      <c r="AD22" s="203" t="str">
        <f t="shared" si="12"/>
        <v>Firerighter Bell Curve-C</v>
      </c>
      <c r="AE22" s="255">
        <f t="shared" ca="1" si="13"/>
        <v>25.693000000000001</v>
      </c>
      <c r="AF22" s="255">
        <f t="shared" ca="1" si="4"/>
        <v>26.721</v>
      </c>
      <c r="AG22" s="255">
        <f t="shared" ca="1" si="4"/>
        <v>27.79</v>
      </c>
      <c r="AH22" s="255">
        <f t="shared" ca="1" si="4"/>
        <v>28.901</v>
      </c>
      <c r="AI22" s="255">
        <f t="shared" ca="1" si="4"/>
        <v>30.056999999999999</v>
      </c>
      <c r="AJ22" s="255">
        <f t="shared" ca="1" si="4"/>
        <v>31.259</v>
      </c>
    </row>
    <row r="23" spans="1:36" s="98" customFormat="1" ht="27.75" customHeight="1">
      <c r="A23" s="41" t="s">
        <v>303</v>
      </c>
      <c r="B23" s="42"/>
      <c r="C23" s="232"/>
      <c r="D23" s="42"/>
      <c r="E23" s="42"/>
      <c r="F23" s="42"/>
      <c r="G23" s="232"/>
      <c r="H23" s="232"/>
      <c r="I23" s="232"/>
      <c r="J23" s="232"/>
      <c r="K23" s="232"/>
      <c r="L23" s="232"/>
      <c r="M23" s="232"/>
      <c r="N23" s="157"/>
      <c r="O23" s="281"/>
      <c r="P23" s="282"/>
      <c r="Q23" s="282"/>
      <c r="R23" s="282"/>
      <c r="S23" s="285"/>
      <c r="T23" s="282"/>
      <c r="U23" s="282"/>
      <c r="V23" s="282"/>
      <c r="W23" s="282"/>
      <c r="X23" s="282"/>
      <c r="Y23" s="282"/>
      <c r="Z23" s="286"/>
      <c r="AB23" s="256"/>
      <c r="AC23" s="256"/>
      <c r="AD23" s="254" t="s">
        <v>299</v>
      </c>
      <c r="AE23" s="256"/>
      <c r="AF23" s="256"/>
      <c r="AG23" s="256"/>
      <c r="AH23" s="256"/>
      <c r="AI23" s="256"/>
      <c r="AJ23" s="256"/>
    </row>
    <row r="24" spans="1:36" s="98" customFormat="1" ht="17.25" customHeight="1">
      <c r="A24" s="50" t="s">
        <v>50</v>
      </c>
      <c r="B24" s="42"/>
      <c r="C24" s="232"/>
      <c r="D24" s="42"/>
      <c r="E24" s="42"/>
      <c r="F24" s="42"/>
      <c r="G24" s="232"/>
      <c r="H24" s="232"/>
      <c r="I24" s="232"/>
      <c r="J24" s="232"/>
      <c r="K24" s="232"/>
      <c r="L24" s="232"/>
      <c r="M24" s="232"/>
      <c r="N24" s="157"/>
      <c r="O24" s="281"/>
      <c r="P24" s="282"/>
      <c r="Q24" s="282"/>
      <c r="R24" s="282"/>
      <c r="S24" s="285"/>
      <c r="T24" s="282"/>
      <c r="U24" s="282"/>
      <c r="V24" s="282"/>
      <c r="W24" s="282"/>
      <c r="X24" s="282"/>
      <c r="Y24" s="282"/>
      <c r="Z24" s="286"/>
      <c r="AB24" s="256"/>
      <c r="AC24" s="256"/>
      <c r="AD24" s="256"/>
      <c r="AE24" s="256"/>
      <c r="AF24" s="256"/>
      <c r="AG24" s="256"/>
      <c r="AH24" s="256"/>
      <c r="AI24" s="256"/>
      <c r="AJ24" s="256"/>
    </row>
    <row r="25" spans="1:36" s="98" customFormat="1" ht="17.25" customHeight="1">
      <c r="A25" s="42" t="s">
        <v>51</v>
      </c>
      <c r="B25" s="42"/>
      <c r="C25" s="232"/>
      <c r="D25" s="42"/>
      <c r="E25" s="42"/>
      <c r="F25" s="42"/>
      <c r="G25" s="232"/>
      <c r="H25" s="232"/>
      <c r="I25" s="232"/>
      <c r="J25" s="232"/>
      <c r="K25" s="232"/>
      <c r="L25" s="232"/>
      <c r="M25" s="232"/>
      <c r="N25" s="157"/>
      <c r="O25" s="281"/>
      <c r="P25" s="282"/>
      <c r="Q25" s="282"/>
      <c r="R25" s="282"/>
      <c r="S25" s="285"/>
      <c r="T25" s="282"/>
      <c r="U25" s="282"/>
      <c r="V25" s="282"/>
      <c r="W25" s="282"/>
      <c r="X25" s="282"/>
      <c r="Y25" s="282"/>
      <c r="Z25" s="286"/>
      <c r="AB25" s="256"/>
      <c r="AC25" s="256"/>
      <c r="AD25" s="256"/>
      <c r="AE25" s="256"/>
      <c r="AF25" s="256"/>
      <c r="AG25" s="256"/>
      <c r="AH25" s="256"/>
      <c r="AI25" s="256"/>
      <c r="AJ25" s="256"/>
    </row>
    <row r="26" spans="1:36" s="98" customFormat="1" ht="17.25" customHeight="1">
      <c r="A26" s="50" t="s">
        <v>52</v>
      </c>
      <c r="B26" s="232"/>
      <c r="C26" s="23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157"/>
      <c r="O26" s="281"/>
      <c r="P26" s="282"/>
      <c r="Q26" s="282"/>
      <c r="R26" s="282"/>
      <c r="S26" s="285"/>
      <c r="T26" s="282"/>
      <c r="U26" s="282"/>
      <c r="V26" s="282"/>
      <c r="W26" s="282"/>
      <c r="X26" s="282"/>
      <c r="Y26" s="282"/>
      <c r="Z26" s="286"/>
      <c r="AB26" s="256"/>
      <c r="AC26" s="256"/>
      <c r="AD26" s="256"/>
      <c r="AE26" s="256"/>
      <c r="AF26" s="256"/>
      <c r="AG26" s="256"/>
      <c r="AH26" s="256"/>
      <c r="AI26" s="256"/>
      <c r="AJ26" s="256"/>
    </row>
    <row r="27" spans="1:36" s="98" customFormat="1" ht="17.25" customHeight="1">
      <c r="A27" s="50"/>
      <c r="B27" s="232"/>
      <c r="C27" s="23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157"/>
      <c r="O27" s="281"/>
      <c r="P27" s="281"/>
      <c r="Q27" s="281"/>
      <c r="R27" s="281"/>
      <c r="S27" s="294"/>
      <c r="T27" s="282"/>
      <c r="U27" s="342" t="s">
        <v>278</v>
      </c>
      <c r="V27" s="343"/>
      <c r="W27" s="281"/>
      <c r="X27" s="282"/>
      <c r="Y27" s="282"/>
      <c r="Z27" s="282"/>
      <c r="AB27" s="256"/>
      <c r="AC27" s="256"/>
      <c r="AD27" s="254"/>
      <c r="AE27" s="256"/>
      <c r="AF27" s="256"/>
      <c r="AG27" s="256"/>
      <c r="AH27" s="256"/>
      <c r="AI27" s="256"/>
      <c r="AJ27" s="256"/>
    </row>
    <row r="28" spans="1:36" ht="27.75" customHeight="1">
      <c r="A28" s="41" t="s">
        <v>136</v>
      </c>
      <c r="B28" s="42" t="s">
        <v>160</v>
      </c>
      <c r="P28" s="281"/>
      <c r="Q28" s="281"/>
      <c r="R28" s="281"/>
      <c r="S28" s="294"/>
      <c r="U28" s="288" t="s">
        <v>230</v>
      </c>
      <c r="V28" s="288" t="s">
        <v>231</v>
      </c>
      <c r="W28" s="281"/>
      <c r="Z28" s="282"/>
      <c r="AA28" s="98"/>
      <c r="AB28" s="257">
        <f t="shared" ref="AB28:AB69" si="19">S28</f>
        <v>0</v>
      </c>
      <c r="AC28" s="203"/>
      <c r="AD28" s="203"/>
      <c r="AE28" s="258" t="str">
        <f>U28</f>
        <v>CFF/109.2</v>
      </c>
      <c r="AF28" s="258" t="str">
        <f>V28</f>
        <v>CFG/80</v>
      </c>
    </row>
    <row r="29" spans="1:36" ht="17.25" customHeight="1">
      <c r="A29" s="56">
        <f t="shared" ref="A29:A47" ca="1" si="20">T29</f>
        <v>18.999209241152155</v>
      </c>
      <c r="B29" s="52" t="s">
        <v>161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60"/>
      <c r="P29" s="281"/>
      <c r="Q29" s="281"/>
      <c r="R29" s="291" t="s">
        <v>287</v>
      </c>
      <c r="S29" s="326" t="str">
        <f t="shared" ref="S29:S47" si="21">"Non FF "&amp;B29</f>
        <v>Non FF  7th year of service</v>
      </c>
      <c r="T29" s="322" cm="1">
        <f t="array" aca="1" ref="T29" ca="1">IF($R29="Y",VLOOKUP(S29,INDIRECT($P$1),2,0)*INDIRECT($Q$1),VLOOKUP(S29,INDIRECT($P$1),2,0))</f>
        <v>18.999209241152155</v>
      </c>
      <c r="U29" s="292">
        <f ca="1">T29/109.2</f>
        <v>0.17398543261128346</v>
      </c>
      <c r="V29" s="292">
        <f ca="1">T29/80</f>
        <v>0.23749011551440194</v>
      </c>
      <c r="W29" s="296"/>
      <c r="Z29" s="282"/>
      <c r="AA29" s="98"/>
      <c r="AB29" s="203" t="str">
        <f t="shared" si="19"/>
        <v>Non FF  7th year of service</v>
      </c>
      <c r="AC29" s="203"/>
      <c r="AD29" s="203"/>
      <c r="AE29" s="255">
        <f t="shared" ref="AE29:AF44" ca="1" si="22">ROUND(U29,3)</f>
        <v>0.17399999999999999</v>
      </c>
      <c r="AF29" s="255">
        <f t="shared" ca="1" si="22"/>
        <v>0.23699999999999999</v>
      </c>
    </row>
    <row r="30" spans="1:36" ht="17.25" customHeight="1">
      <c r="A30" s="56">
        <f t="shared" ca="1" si="20"/>
        <v>26.946590884509845</v>
      </c>
      <c r="B30" s="52" t="s">
        <v>162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60"/>
      <c r="P30" s="281"/>
      <c r="Q30" s="281"/>
      <c r="R30" s="291" t="s">
        <v>287</v>
      </c>
      <c r="S30" s="326" t="str">
        <f t="shared" si="21"/>
        <v>Non FF  8th year of service</v>
      </c>
      <c r="T30" s="322" cm="1">
        <f t="array" aca="1" ref="T30" ca="1">IF($R30="Y",VLOOKUP(S30,INDIRECT($P$1),2,0)*INDIRECT($Q$1),VLOOKUP(S30,INDIRECT($P$1),2,0))</f>
        <v>26.946590884509845</v>
      </c>
      <c r="U30" s="292">
        <f t="shared" ref="U30:U47" ca="1" si="23">T30/109.2</f>
        <v>0.2467636527885517</v>
      </c>
      <c r="V30" s="292">
        <f t="shared" ref="V30:V47" ca="1" si="24">T30/80</f>
        <v>0.33683238605637306</v>
      </c>
      <c r="W30" s="296"/>
      <c r="Y30" s="297"/>
      <c r="Z30" s="282"/>
      <c r="AA30" s="98"/>
      <c r="AB30" s="203" t="str">
        <f t="shared" si="19"/>
        <v>Non FF  8th year of service</v>
      </c>
      <c r="AC30" s="203"/>
      <c r="AD30" s="203"/>
      <c r="AE30" s="255">
        <f t="shared" ca="1" si="22"/>
        <v>0.247</v>
      </c>
      <c r="AF30" s="255">
        <f t="shared" ca="1" si="22"/>
        <v>0.33700000000000002</v>
      </c>
    </row>
    <row r="31" spans="1:36" ht="17.25" customHeight="1">
      <c r="A31" s="56">
        <f t="shared" ca="1" si="20"/>
        <v>34.893972527867646</v>
      </c>
      <c r="B31" s="52" t="s">
        <v>163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160"/>
      <c r="P31" s="281"/>
      <c r="Q31" s="281"/>
      <c r="R31" s="291" t="s">
        <v>287</v>
      </c>
      <c r="S31" s="326" t="str">
        <f t="shared" si="21"/>
        <v>Non FF  9th year of service</v>
      </c>
      <c r="T31" s="322" cm="1">
        <f t="array" aca="1" ref="T31" ca="1">IF($R31="Y",VLOOKUP(S31,INDIRECT($P$1),2,0)*INDIRECT($Q$1),VLOOKUP(S31,INDIRECT($P$1),2,0))</f>
        <v>34.893972527867646</v>
      </c>
      <c r="U31" s="292">
        <f t="shared" ca="1" si="23"/>
        <v>0.31954187296582093</v>
      </c>
      <c r="V31" s="292">
        <f t="shared" ca="1" si="24"/>
        <v>0.43617465659834559</v>
      </c>
      <c r="W31" s="296"/>
      <c r="Y31" s="297"/>
      <c r="Z31" s="282"/>
      <c r="AA31" s="98"/>
      <c r="AB31" s="203" t="str">
        <f t="shared" si="19"/>
        <v>Non FF  9th year of service</v>
      </c>
      <c r="AC31" s="203"/>
      <c r="AD31" s="203"/>
      <c r="AE31" s="255">
        <f t="shared" ca="1" si="22"/>
        <v>0.32</v>
      </c>
      <c r="AF31" s="255">
        <f t="shared" ca="1" si="22"/>
        <v>0.436</v>
      </c>
    </row>
    <row r="32" spans="1:36" ht="17.25" customHeight="1">
      <c r="A32" s="56">
        <f t="shared" ca="1" si="20"/>
        <v>42.841354171225454</v>
      </c>
      <c r="B32" s="52" t="s">
        <v>164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160"/>
      <c r="P32" s="281"/>
      <c r="Q32" s="281"/>
      <c r="R32" s="291" t="s">
        <v>287</v>
      </c>
      <c r="S32" s="326" t="str">
        <f t="shared" si="21"/>
        <v>Non FF  10th year of service</v>
      </c>
      <c r="T32" s="322" cm="1">
        <f t="array" aca="1" ref="T32" ca="1">IF($R32="Y",VLOOKUP(S32,INDIRECT($P$1),2,0)*INDIRECT($Q$1),VLOOKUP(S32,INDIRECT($P$1),2,0))</f>
        <v>42.841354171225454</v>
      </c>
      <c r="U32" s="292">
        <f t="shared" ca="1" si="23"/>
        <v>0.39232009314309024</v>
      </c>
      <c r="V32" s="292">
        <f t="shared" ca="1" si="24"/>
        <v>0.53551692714031818</v>
      </c>
      <c r="W32" s="296"/>
      <c r="Y32" s="297"/>
      <c r="Z32" s="282"/>
      <c r="AA32" s="98"/>
      <c r="AB32" s="203" t="str">
        <f t="shared" si="19"/>
        <v>Non FF  10th year of service</v>
      </c>
      <c r="AC32" s="203"/>
      <c r="AD32" s="203"/>
      <c r="AE32" s="255">
        <f t="shared" ca="1" si="22"/>
        <v>0.39200000000000002</v>
      </c>
      <c r="AF32" s="255">
        <f t="shared" ca="1" si="22"/>
        <v>0.53600000000000003</v>
      </c>
    </row>
    <row r="33" spans="1:32" ht="17.25" customHeight="1">
      <c r="A33" s="56">
        <f t="shared" ca="1" si="20"/>
        <v>50.788735814583156</v>
      </c>
      <c r="B33" s="52" t="s">
        <v>165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160"/>
      <c r="P33" s="281"/>
      <c r="Q33" s="281"/>
      <c r="R33" s="291" t="s">
        <v>287</v>
      </c>
      <c r="S33" s="326" t="str">
        <f t="shared" si="21"/>
        <v>Non FF  11th year of service</v>
      </c>
      <c r="T33" s="322" cm="1">
        <f t="array" aca="1" ref="T33" ca="1">IF($R33="Y",VLOOKUP(S33,INDIRECT($P$1),2,0)*INDIRECT($Q$1),VLOOKUP(S33,INDIRECT($P$1),2,0))</f>
        <v>50.788735814583156</v>
      </c>
      <c r="U33" s="292">
        <f t="shared" ca="1" si="23"/>
        <v>0.46509831332035856</v>
      </c>
      <c r="V33" s="292">
        <f t="shared" ca="1" si="24"/>
        <v>0.63485919768228949</v>
      </c>
      <c r="W33" s="296"/>
      <c r="Y33" s="297"/>
      <c r="Z33" s="282"/>
      <c r="AA33" s="98"/>
      <c r="AB33" s="203" t="str">
        <f t="shared" si="19"/>
        <v>Non FF  11th year of service</v>
      </c>
      <c r="AC33" s="203"/>
      <c r="AD33" s="203"/>
      <c r="AE33" s="255">
        <f t="shared" ca="1" si="22"/>
        <v>0.46500000000000002</v>
      </c>
      <c r="AF33" s="255">
        <f t="shared" ca="1" si="22"/>
        <v>0.63500000000000001</v>
      </c>
    </row>
    <row r="34" spans="1:32" ht="17.25" customHeight="1">
      <c r="A34" s="56">
        <f t="shared" ca="1" si="20"/>
        <v>153.49933021711925</v>
      </c>
      <c r="B34" s="52" t="s">
        <v>166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160"/>
      <c r="P34" s="281"/>
      <c r="Q34" s="281"/>
      <c r="R34" s="291" t="s">
        <v>287</v>
      </c>
      <c r="S34" s="326" t="str">
        <f t="shared" si="21"/>
        <v>Non FF  12th year of service</v>
      </c>
      <c r="T34" s="322" cm="1">
        <f t="array" aca="1" ref="T34" ca="1">IF($R34="Y",VLOOKUP(S34,INDIRECT($P$1),2,0)*INDIRECT($Q$1),VLOOKUP(S34,INDIRECT($P$1),2,0))</f>
        <v>153.49933021711925</v>
      </c>
      <c r="U34" s="292">
        <f t="shared" ca="1" si="23"/>
        <v>1.4056715221347917</v>
      </c>
      <c r="V34" s="292">
        <f t="shared" ca="1" si="24"/>
        <v>1.9187416277139906</v>
      </c>
      <c r="W34" s="296"/>
      <c r="Y34" s="297"/>
      <c r="Z34" s="282"/>
      <c r="AA34" s="98"/>
      <c r="AB34" s="203" t="str">
        <f t="shared" si="19"/>
        <v>Non FF  12th year of service</v>
      </c>
      <c r="AC34" s="203"/>
      <c r="AD34" s="203"/>
      <c r="AE34" s="255">
        <f t="shared" ca="1" si="22"/>
        <v>1.4059999999999999</v>
      </c>
      <c r="AF34" s="255">
        <f t="shared" ca="1" si="22"/>
        <v>1.919</v>
      </c>
    </row>
    <row r="35" spans="1:32" ht="17.25" customHeight="1">
      <c r="A35" s="56">
        <f t="shared" ca="1" si="20"/>
        <v>162.12968997045289</v>
      </c>
      <c r="B35" s="52" t="s">
        <v>167</v>
      </c>
      <c r="P35" s="281"/>
      <c r="Q35" s="281"/>
      <c r="R35" s="291" t="s">
        <v>287</v>
      </c>
      <c r="S35" s="326" t="str">
        <f t="shared" si="21"/>
        <v>Non FF  13th year of service</v>
      </c>
      <c r="T35" s="322" cm="1">
        <f t="array" aca="1" ref="T35" ca="1">IF($R35="Y",VLOOKUP(S35,INDIRECT($P$1),2,0)*INDIRECT($Q$1),VLOOKUP(S35,INDIRECT($P$1),2,0))</f>
        <v>162.12968997045289</v>
      </c>
      <c r="U35" s="292">
        <f t="shared" ca="1" si="23"/>
        <v>1.484704120608543</v>
      </c>
      <c r="V35" s="292">
        <f t="shared" ca="1" si="24"/>
        <v>2.0266211246306609</v>
      </c>
      <c r="W35" s="296"/>
      <c r="Y35" s="297"/>
      <c r="Z35" s="282"/>
      <c r="AA35" s="98"/>
      <c r="AB35" s="203" t="str">
        <f t="shared" si="19"/>
        <v>Non FF  13th year of service</v>
      </c>
      <c r="AC35" s="203"/>
      <c r="AD35" s="203"/>
      <c r="AE35" s="255">
        <f t="shared" ca="1" si="22"/>
        <v>1.4850000000000001</v>
      </c>
      <c r="AF35" s="255">
        <f t="shared" ca="1" si="22"/>
        <v>2.0270000000000001</v>
      </c>
    </row>
    <row r="36" spans="1:32" ht="17.25" customHeight="1">
      <c r="A36" s="56">
        <f t="shared" ca="1" si="20"/>
        <v>170.74452749401416</v>
      </c>
      <c r="B36" s="52" t="s">
        <v>168</v>
      </c>
      <c r="P36" s="281"/>
      <c r="Q36" s="281"/>
      <c r="R36" s="291" t="s">
        <v>287</v>
      </c>
      <c r="S36" s="326" t="str">
        <f t="shared" si="21"/>
        <v>Non FF  14th year of service</v>
      </c>
      <c r="T36" s="322" cm="1">
        <f t="array" aca="1" ref="T36" ca="1">IF($R36="Y",VLOOKUP(S36,INDIRECT($P$1),2,0)*INDIRECT($Q$1),VLOOKUP(S36,INDIRECT($P$1),2,0))</f>
        <v>170.74452749401416</v>
      </c>
      <c r="U36" s="292">
        <f t="shared" ca="1" si="23"/>
        <v>1.5635945741210089</v>
      </c>
      <c r="V36" s="292">
        <f t="shared" ca="1" si="24"/>
        <v>2.1343065936751771</v>
      </c>
      <c r="W36" s="296"/>
      <c r="Y36" s="297"/>
      <c r="Z36" s="282"/>
      <c r="AA36" s="98"/>
      <c r="AB36" s="203" t="str">
        <f t="shared" si="19"/>
        <v>Non FF  14th year of service</v>
      </c>
      <c r="AC36" s="203"/>
      <c r="AD36" s="203"/>
      <c r="AE36" s="255">
        <f t="shared" ca="1" si="22"/>
        <v>1.5640000000000001</v>
      </c>
      <c r="AF36" s="255">
        <f t="shared" ca="1" si="22"/>
        <v>2.1339999999999999</v>
      </c>
    </row>
    <row r="37" spans="1:32" ht="17.25" customHeight="1">
      <c r="A37" s="56">
        <f t="shared" ca="1" si="20"/>
        <v>223.33384196217062</v>
      </c>
      <c r="B37" s="52" t="s">
        <v>169</v>
      </c>
      <c r="P37" s="281"/>
      <c r="Q37" s="281"/>
      <c r="R37" s="291" t="s">
        <v>287</v>
      </c>
      <c r="S37" s="326" t="str">
        <f t="shared" si="21"/>
        <v>Non FF  15th year of service</v>
      </c>
      <c r="T37" s="322" cm="1">
        <f t="array" aca="1" ref="T37" ca="1">IF($R37="Y",VLOOKUP(S37,INDIRECT($P$1),2,0)*INDIRECT($Q$1),VLOOKUP(S37,INDIRECT($P$1),2,0))</f>
        <v>223.33384196217062</v>
      </c>
      <c r="U37" s="292">
        <f t="shared" ca="1" si="23"/>
        <v>2.0451817029502806</v>
      </c>
      <c r="V37" s="292">
        <f t="shared" ca="1" si="24"/>
        <v>2.7916730245271326</v>
      </c>
      <c r="W37" s="296"/>
      <c r="Y37" s="297"/>
      <c r="Z37" s="282"/>
      <c r="AA37" s="98"/>
      <c r="AB37" s="203" t="str">
        <f t="shared" si="19"/>
        <v>Non FF  15th year of service</v>
      </c>
      <c r="AC37" s="203"/>
      <c r="AD37" s="203"/>
      <c r="AE37" s="255">
        <f t="shared" ca="1" si="22"/>
        <v>2.0449999999999999</v>
      </c>
      <c r="AF37" s="255">
        <f t="shared" ca="1" si="22"/>
        <v>2.7919999999999998</v>
      </c>
    </row>
    <row r="38" spans="1:32" ht="17.25" customHeight="1">
      <c r="A38" s="56">
        <f t="shared" ca="1" si="20"/>
        <v>231.94867948573193</v>
      </c>
      <c r="B38" s="52" t="s">
        <v>170</v>
      </c>
      <c r="P38" s="281"/>
      <c r="Q38" s="281"/>
      <c r="R38" s="291" t="s">
        <v>287</v>
      </c>
      <c r="S38" s="326" t="str">
        <f t="shared" si="21"/>
        <v>Non FF  16th year of service</v>
      </c>
      <c r="T38" s="322" cm="1">
        <f t="array" aca="1" ref="T38" ca="1">IF($R38="Y",VLOOKUP(S38,INDIRECT($P$1),2,0)*INDIRECT($Q$1),VLOOKUP(S38,INDIRECT($P$1),2,0))</f>
        <v>231.94867948573193</v>
      </c>
      <c r="U38" s="292">
        <f t="shared" ca="1" si="23"/>
        <v>2.1240721564627467</v>
      </c>
      <c r="V38" s="292">
        <f t="shared" ca="1" si="24"/>
        <v>2.8993584935716492</v>
      </c>
      <c r="W38" s="296"/>
      <c r="Y38" s="297"/>
      <c r="Z38" s="282"/>
      <c r="AA38" s="98"/>
      <c r="AB38" s="203" t="str">
        <f t="shared" si="19"/>
        <v>Non FF  16th year of service</v>
      </c>
      <c r="AC38" s="203"/>
      <c r="AD38" s="203"/>
      <c r="AE38" s="255">
        <f t="shared" ca="1" si="22"/>
        <v>2.1240000000000001</v>
      </c>
      <c r="AF38" s="255">
        <f t="shared" ca="1" si="22"/>
        <v>2.899</v>
      </c>
    </row>
    <row r="39" spans="1:32" ht="17.25" customHeight="1">
      <c r="A39" s="56">
        <f t="shared" ca="1" si="20"/>
        <v>240.57903923906562</v>
      </c>
      <c r="B39" s="52" t="s">
        <v>171</v>
      </c>
      <c r="P39" s="281"/>
      <c r="Q39" s="281"/>
      <c r="R39" s="291" t="s">
        <v>287</v>
      </c>
      <c r="S39" s="326" t="str">
        <f t="shared" si="21"/>
        <v>Non FF  17th year of service</v>
      </c>
      <c r="T39" s="322" cm="1">
        <f t="array" aca="1" ref="T39" ca="1">IF($R39="Y",VLOOKUP(S39,INDIRECT($P$1),2,0)*INDIRECT($Q$1),VLOOKUP(S39,INDIRECT($P$1),2,0))</f>
        <v>240.57903923906562</v>
      </c>
      <c r="U39" s="292">
        <f t="shared" ca="1" si="23"/>
        <v>2.2031047549364984</v>
      </c>
      <c r="V39" s="292">
        <f t="shared" ca="1" si="24"/>
        <v>3.0072379904883202</v>
      </c>
      <c r="W39" s="296"/>
      <c r="Y39" s="297"/>
      <c r="Z39" s="282"/>
      <c r="AA39" s="98"/>
      <c r="AB39" s="203" t="str">
        <f t="shared" si="19"/>
        <v>Non FF  17th year of service</v>
      </c>
      <c r="AC39" s="203"/>
      <c r="AD39" s="203"/>
      <c r="AE39" s="255">
        <f t="shared" ca="1" si="22"/>
        <v>2.2029999999999998</v>
      </c>
      <c r="AF39" s="255">
        <f t="shared" ca="1" si="22"/>
        <v>3.0070000000000001</v>
      </c>
    </row>
    <row r="40" spans="1:32" ht="17.25" customHeight="1">
      <c r="A40" s="56">
        <f t="shared" ca="1" si="20"/>
        <v>249.20939899240048</v>
      </c>
      <c r="B40" s="52" t="s">
        <v>172</v>
      </c>
      <c r="P40" s="281"/>
      <c r="Q40" s="281"/>
      <c r="R40" s="291" t="s">
        <v>287</v>
      </c>
      <c r="S40" s="326" t="str">
        <f t="shared" si="21"/>
        <v>Non FF  18th year of service</v>
      </c>
      <c r="T40" s="322" cm="1">
        <f t="array" aca="1" ref="T40" ca="1">IF($R40="Y",VLOOKUP(S40,INDIRECT($P$1),2,0)*INDIRECT($Q$1),VLOOKUP(S40,INDIRECT($P$1),2,0))</f>
        <v>249.20939899240048</v>
      </c>
      <c r="U40" s="292">
        <f t="shared" ca="1" si="23"/>
        <v>2.2821373534102607</v>
      </c>
      <c r="V40" s="292">
        <f t="shared" ca="1" si="24"/>
        <v>3.1151174874050058</v>
      </c>
      <c r="W40" s="296"/>
      <c r="Y40" s="297"/>
      <c r="Z40" s="282"/>
      <c r="AA40" s="98"/>
      <c r="AB40" s="203" t="str">
        <f t="shared" si="19"/>
        <v>Non FF  18th year of service</v>
      </c>
      <c r="AC40" s="203"/>
      <c r="AD40" s="203"/>
      <c r="AE40" s="255">
        <f t="shared" ca="1" si="22"/>
        <v>2.282</v>
      </c>
      <c r="AF40" s="255">
        <f t="shared" ca="1" si="22"/>
        <v>3.1150000000000002</v>
      </c>
    </row>
    <row r="41" spans="1:32" ht="17.25" customHeight="1">
      <c r="A41" s="56">
        <f t="shared" ca="1" si="20"/>
        <v>273.67243311336051</v>
      </c>
      <c r="B41" s="52" t="s">
        <v>173</v>
      </c>
      <c r="P41" s="281"/>
      <c r="Q41" s="281"/>
      <c r="R41" s="291" t="s">
        <v>287</v>
      </c>
      <c r="S41" s="326" t="str">
        <f t="shared" si="21"/>
        <v>Non FF  19th year of service</v>
      </c>
      <c r="T41" s="322" cm="1">
        <f t="array" aca="1" ref="T41" ca="1">IF($R41="Y",VLOOKUP(S41,INDIRECT($P$1),2,0)*INDIRECT($Q$1),VLOOKUP(S41,INDIRECT($P$1),2,0))</f>
        <v>273.67243311336051</v>
      </c>
      <c r="U41" s="292">
        <f t="shared" ca="1" si="23"/>
        <v>2.5061578123934112</v>
      </c>
      <c r="V41" s="292">
        <f t="shared" ca="1" si="24"/>
        <v>3.4209054139170063</v>
      </c>
      <c r="W41" s="296"/>
      <c r="Y41" s="297"/>
      <c r="Z41" s="282"/>
      <c r="AA41" s="98"/>
      <c r="AB41" s="203" t="str">
        <f t="shared" si="19"/>
        <v>Non FF  19th year of service</v>
      </c>
      <c r="AC41" s="203"/>
      <c r="AD41" s="203"/>
      <c r="AE41" s="255">
        <f t="shared" ca="1" si="22"/>
        <v>2.5059999999999998</v>
      </c>
      <c r="AF41" s="255">
        <f t="shared" ca="1" si="22"/>
        <v>3.4209999999999998</v>
      </c>
    </row>
    <row r="42" spans="1:32" ht="17.25" customHeight="1">
      <c r="A42" s="56">
        <f t="shared" ca="1" si="20"/>
        <v>343.83291168362797</v>
      </c>
      <c r="B42" s="52" t="s">
        <v>174</v>
      </c>
      <c r="P42" s="281"/>
      <c r="Q42" s="281"/>
      <c r="R42" s="291" t="s">
        <v>287</v>
      </c>
      <c r="S42" s="326" t="str">
        <f t="shared" si="21"/>
        <v>Non FF  20th year of service</v>
      </c>
      <c r="T42" s="322" cm="1">
        <f t="array" aca="1" ref="T42" ca="1">IF($R42="Y",VLOOKUP(S42,INDIRECT($P$1),2,0)*INDIRECT($Q$1),VLOOKUP(S42,INDIRECT($P$1),2,0))</f>
        <v>343.83291168362797</v>
      </c>
      <c r="U42" s="292">
        <f t="shared" ca="1" si="23"/>
        <v>3.1486530373958606</v>
      </c>
      <c r="V42" s="292">
        <f t="shared" ca="1" si="24"/>
        <v>4.2979113960453494</v>
      </c>
      <c r="W42" s="296"/>
      <c r="Y42" s="297"/>
      <c r="Z42" s="282"/>
      <c r="AA42" s="98"/>
      <c r="AB42" s="203" t="str">
        <f t="shared" si="19"/>
        <v>Non FF  20th year of service</v>
      </c>
      <c r="AC42" s="203"/>
      <c r="AD42" s="203"/>
      <c r="AE42" s="255">
        <f t="shared" ca="1" si="22"/>
        <v>3.149</v>
      </c>
      <c r="AF42" s="255">
        <f t="shared" ca="1" si="22"/>
        <v>4.298</v>
      </c>
    </row>
    <row r="43" spans="1:32" ht="17.25" customHeight="1">
      <c r="A43" s="56">
        <f t="shared" ca="1" si="20"/>
        <v>352.46327143696169</v>
      </c>
      <c r="B43" s="52" t="s">
        <v>175</v>
      </c>
      <c r="P43" s="281"/>
      <c r="Q43" s="281"/>
      <c r="R43" s="291" t="s">
        <v>287</v>
      </c>
      <c r="S43" s="326" t="str">
        <f t="shared" si="21"/>
        <v>Non FF  21st year of service</v>
      </c>
      <c r="T43" s="322" cm="1">
        <f t="array" aca="1" ref="T43" ca="1">IF($R43="Y",VLOOKUP(S43,INDIRECT($P$1),2,0)*INDIRECT($Q$1),VLOOKUP(S43,INDIRECT($P$1),2,0))</f>
        <v>352.46327143696169</v>
      </c>
      <c r="U43" s="292">
        <f t="shared" ca="1" si="23"/>
        <v>3.2276856358696127</v>
      </c>
      <c r="V43" s="292">
        <f t="shared" ca="1" si="24"/>
        <v>4.4057908929620213</v>
      </c>
      <c r="W43" s="296"/>
      <c r="Y43" s="297"/>
      <c r="Z43" s="282"/>
      <c r="AA43" s="98"/>
      <c r="AB43" s="203" t="str">
        <f t="shared" si="19"/>
        <v>Non FF  21st year of service</v>
      </c>
      <c r="AC43" s="203"/>
      <c r="AD43" s="203"/>
      <c r="AE43" s="255">
        <f t="shared" ca="1" si="22"/>
        <v>3.2280000000000002</v>
      </c>
      <c r="AF43" s="255">
        <f t="shared" ca="1" si="22"/>
        <v>4.4059999999999997</v>
      </c>
    </row>
    <row r="44" spans="1:32" ht="17.25" customHeight="1">
      <c r="A44" s="56">
        <f t="shared" ca="1" si="20"/>
        <v>361.09363119029535</v>
      </c>
      <c r="B44" s="52" t="s">
        <v>176</v>
      </c>
      <c r="P44" s="281"/>
      <c r="Q44" s="281"/>
      <c r="R44" s="291" t="s">
        <v>287</v>
      </c>
      <c r="S44" s="326" t="str">
        <f t="shared" si="21"/>
        <v>Non FF  22nd year of service</v>
      </c>
      <c r="T44" s="322" cm="1">
        <f t="array" aca="1" ref="T44" ca="1">IF($R44="Y",VLOOKUP(S44,INDIRECT($P$1),2,0)*INDIRECT($Q$1),VLOOKUP(S44,INDIRECT($P$1),2,0))</f>
        <v>361.09363119029535</v>
      </c>
      <c r="U44" s="292">
        <f t="shared" ca="1" si="23"/>
        <v>3.3067182343433639</v>
      </c>
      <c r="V44" s="292">
        <f t="shared" ca="1" si="24"/>
        <v>4.5136703898786923</v>
      </c>
      <c r="W44" s="296"/>
      <c r="Y44" s="297"/>
      <c r="Z44" s="282"/>
      <c r="AA44" s="98"/>
      <c r="AB44" s="203" t="str">
        <f t="shared" si="19"/>
        <v>Non FF  22nd year of service</v>
      </c>
      <c r="AC44" s="203"/>
      <c r="AD44" s="203"/>
      <c r="AE44" s="255">
        <f t="shared" ca="1" si="22"/>
        <v>3.3069999999999999</v>
      </c>
      <c r="AF44" s="255">
        <f t="shared" ca="1" si="22"/>
        <v>4.5140000000000002</v>
      </c>
    </row>
    <row r="45" spans="1:32" ht="17.25" customHeight="1">
      <c r="A45" s="56">
        <f t="shared" ca="1" si="20"/>
        <v>369.72399094363016</v>
      </c>
      <c r="B45" s="52" t="s">
        <v>177</v>
      </c>
      <c r="P45" s="281"/>
      <c r="Q45" s="281"/>
      <c r="R45" s="291" t="s">
        <v>287</v>
      </c>
      <c r="S45" s="326" t="str">
        <f t="shared" si="21"/>
        <v>Non FF  23rd year of service</v>
      </c>
      <c r="T45" s="322" cm="1">
        <f t="array" aca="1" ref="T45" ca="1">IF($R45="Y",VLOOKUP(S45,INDIRECT($P$1),2,0)*INDIRECT($Q$1),VLOOKUP(S45,INDIRECT($P$1),2,0))</f>
        <v>369.72399094363016</v>
      </c>
      <c r="U45" s="292">
        <f t="shared" ca="1" si="23"/>
        <v>3.3857508328171257</v>
      </c>
      <c r="V45" s="292">
        <f t="shared" ca="1" si="24"/>
        <v>4.6215498867953766</v>
      </c>
      <c r="W45" s="296"/>
      <c r="Y45" s="297"/>
      <c r="Z45" s="282"/>
      <c r="AA45" s="98"/>
      <c r="AB45" s="203" t="str">
        <f t="shared" si="19"/>
        <v>Non FF  23rd year of service</v>
      </c>
      <c r="AC45" s="203"/>
      <c r="AD45" s="203"/>
      <c r="AE45" s="255">
        <f t="shared" ref="AE45:AF69" ca="1" si="25">ROUND(U45,3)</f>
        <v>3.3860000000000001</v>
      </c>
      <c r="AF45" s="255">
        <f t="shared" ca="1" si="25"/>
        <v>4.6219999999999999</v>
      </c>
    </row>
    <row r="46" spans="1:32" ht="17.25" customHeight="1">
      <c r="A46" s="56">
        <f t="shared" ca="1" si="20"/>
        <v>378.35435069696376</v>
      </c>
      <c r="B46" s="52" t="s">
        <v>178</v>
      </c>
      <c r="P46" s="281"/>
      <c r="Q46" s="281"/>
      <c r="R46" s="291" t="s">
        <v>287</v>
      </c>
      <c r="S46" s="326" t="str">
        <f t="shared" si="21"/>
        <v>Non FF  24th year of service</v>
      </c>
      <c r="T46" s="322" cm="1">
        <f t="array" aca="1" ref="T46" ca="1">IF($R46="Y",VLOOKUP(S46,INDIRECT($P$1),2,0)*INDIRECT($Q$1),VLOOKUP(S46,INDIRECT($P$1),2,0))</f>
        <v>378.35435069696376</v>
      </c>
      <c r="U46" s="292">
        <f t="shared" ca="1" si="23"/>
        <v>3.464783431290877</v>
      </c>
      <c r="V46" s="292">
        <f t="shared" ca="1" si="24"/>
        <v>4.7294293837120467</v>
      </c>
      <c r="W46" s="296"/>
      <c r="Y46" s="297"/>
      <c r="Z46" s="282"/>
      <c r="AA46" s="98"/>
      <c r="AB46" s="203" t="str">
        <f t="shared" si="19"/>
        <v>Non FF  24th year of service</v>
      </c>
      <c r="AC46" s="203"/>
      <c r="AD46" s="203"/>
      <c r="AE46" s="255">
        <f t="shared" ca="1" si="25"/>
        <v>3.4649999999999999</v>
      </c>
      <c r="AF46" s="255">
        <f t="shared" ca="1" si="25"/>
        <v>4.7290000000000001</v>
      </c>
    </row>
    <row r="47" spans="1:32" ht="17.25" customHeight="1">
      <c r="A47" s="56">
        <f t="shared" ca="1" si="20"/>
        <v>413.34145660346456</v>
      </c>
      <c r="B47" s="52" t="s">
        <v>179</v>
      </c>
      <c r="P47" s="281"/>
      <c r="Q47" s="281"/>
      <c r="R47" s="291" t="s">
        <v>287</v>
      </c>
      <c r="S47" s="326" t="str">
        <f t="shared" si="21"/>
        <v>Non FF  25th year of service</v>
      </c>
      <c r="T47" s="322" cm="1">
        <f t="array" aca="1" ref="T47" ca="1">IF($R47="Y",VLOOKUP(S47,INDIRECT($P$1),2,0)*INDIRECT($Q$1),VLOOKUP(S47,INDIRECT($P$1),2,0))</f>
        <v>413.34145660346456</v>
      </c>
      <c r="U47" s="292">
        <f t="shared" ca="1" si="23"/>
        <v>3.7851781740244008</v>
      </c>
      <c r="V47" s="292">
        <f t="shared" ca="1" si="24"/>
        <v>5.1667682075433072</v>
      </c>
      <c r="W47" s="296"/>
      <c r="Y47" s="297"/>
      <c r="Z47" s="282"/>
      <c r="AA47" s="98"/>
      <c r="AB47" s="203" t="str">
        <f t="shared" si="19"/>
        <v>Non FF  25th year of service</v>
      </c>
      <c r="AC47" s="203"/>
      <c r="AD47" s="203"/>
      <c r="AE47" s="255">
        <f t="shared" ca="1" si="25"/>
        <v>3.7850000000000001</v>
      </c>
      <c r="AF47" s="255">
        <f t="shared" ca="1" si="25"/>
        <v>5.1669999999999998</v>
      </c>
    </row>
    <row r="48" spans="1:32">
      <c r="A48" s="317"/>
      <c r="B48" s="52"/>
      <c r="P48" s="281"/>
      <c r="Q48" s="281"/>
      <c r="R48" s="295"/>
      <c r="U48" s="298"/>
      <c r="V48" s="299"/>
      <c r="W48" s="299"/>
      <c r="Z48" s="282"/>
      <c r="AA48" s="98"/>
      <c r="AE48" s="259"/>
      <c r="AF48" s="259"/>
    </row>
    <row r="49" spans="1:32" ht="27.75" customHeight="1">
      <c r="A49" s="318" t="s">
        <v>136</v>
      </c>
      <c r="B49" s="42" t="s">
        <v>181</v>
      </c>
      <c r="P49" s="281"/>
      <c r="Q49" s="281"/>
      <c r="R49" s="295"/>
      <c r="U49" s="288" t="s">
        <v>232</v>
      </c>
      <c r="V49" s="288" t="s">
        <v>233</v>
      </c>
      <c r="W49" s="281"/>
      <c r="Z49" s="282"/>
      <c r="AA49" s="98"/>
      <c r="AB49" s="257" t="s">
        <v>297</v>
      </c>
      <c r="AC49" s="203"/>
      <c r="AD49" s="257"/>
      <c r="AE49" s="258" t="str">
        <f>U49</f>
        <v>CFH/109.2</v>
      </c>
      <c r="AF49" s="258" t="str">
        <f>V49</f>
        <v>CFI/80</v>
      </c>
    </row>
    <row r="50" spans="1:32" ht="17.25" customHeight="1">
      <c r="A50" s="56">
        <f ca="1">T50</f>
        <v>18.999209241152155</v>
      </c>
      <c r="B50" s="52" t="s">
        <v>161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160"/>
      <c r="P50" s="281"/>
      <c r="Q50" s="281"/>
      <c r="R50" s="291" t="s">
        <v>287</v>
      </c>
      <c r="S50" s="326" t="str">
        <f t="shared" ref="S50:S69" si="26">"FF "&amp;B50</f>
        <v>FF  7th year of service</v>
      </c>
      <c r="T50" s="322" cm="1">
        <f t="array" aca="1" ref="T50" ca="1">IF($R50="Y",VLOOKUP(S50,INDIRECT($P$1),2,0)*INDIRECT($Q$1),VLOOKUP(S50,INDIRECT($P$1),2,0))</f>
        <v>18.999209241152155</v>
      </c>
      <c r="U50" s="292">
        <f t="shared" ref="U50:U69" ca="1" si="27">T50/109.2</f>
        <v>0.17398543261128346</v>
      </c>
      <c r="V50" s="292">
        <f t="shared" ref="V50:V69" ca="1" si="28">T50/80</f>
        <v>0.23749011551440194</v>
      </c>
      <c r="W50" s="296"/>
      <c r="Z50" s="282"/>
      <c r="AA50" s="98"/>
      <c r="AB50" s="203" t="str">
        <f t="shared" si="19"/>
        <v>FF  7th year of service</v>
      </c>
      <c r="AC50" s="203"/>
      <c r="AD50" s="203"/>
      <c r="AE50" s="255">
        <f t="shared" ca="1" si="25"/>
        <v>0.17399999999999999</v>
      </c>
      <c r="AF50" s="255">
        <f t="shared" ca="1" si="25"/>
        <v>0.23699999999999999</v>
      </c>
    </row>
    <row r="51" spans="1:32" ht="17.25" customHeight="1">
      <c r="A51" s="56">
        <f t="shared" ref="A51:A69" ca="1" si="29">T51</f>
        <v>26.946590884509845</v>
      </c>
      <c r="B51" s="52" t="s">
        <v>162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60"/>
      <c r="P51" s="281"/>
      <c r="Q51" s="281"/>
      <c r="R51" s="291" t="s">
        <v>287</v>
      </c>
      <c r="S51" s="326" t="str">
        <f t="shared" si="26"/>
        <v>FF  8th year of service</v>
      </c>
      <c r="T51" s="322" cm="1">
        <f t="array" aca="1" ref="T51" ca="1">IF($R51="Y",VLOOKUP(S51,INDIRECT($P$1),2,0)*INDIRECT($Q$1),VLOOKUP(S51,INDIRECT($P$1),2,0))</f>
        <v>26.946590884509845</v>
      </c>
      <c r="U51" s="292">
        <f t="shared" ca="1" si="27"/>
        <v>0.2467636527885517</v>
      </c>
      <c r="V51" s="292">
        <f t="shared" ca="1" si="28"/>
        <v>0.33683238605637306</v>
      </c>
      <c r="W51" s="296"/>
      <c r="Y51" s="297"/>
      <c r="Z51" s="282"/>
      <c r="AA51" s="98"/>
      <c r="AB51" s="203" t="str">
        <f t="shared" si="19"/>
        <v>FF  8th year of service</v>
      </c>
      <c r="AC51" s="203"/>
      <c r="AD51" s="203"/>
      <c r="AE51" s="255">
        <f t="shared" ca="1" si="25"/>
        <v>0.247</v>
      </c>
      <c r="AF51" s="255">
        <f t="shared" ca="1" si="25"/>
        <v>0.33700000000000002</v>
      </c>
    </row>
    <row r="52" spans="1:32" ht="17.25" customHeight="1">
      <c r="A52" s="56">
        <f t="shared" ca="1" si="29"/>
        <v>34.893972527867646</v>
      </c>
      <c r="B52" s="52" t="s">
        <v>163</v>
      </c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160"/>
      <c r="P52" s="281"/>
      <c r="Q52" s="281"/>
      <c r="R52" s="291" t="s">
        <v>287</v>
      </c>
      <c r="S52" s="326" t="str">
        <f t="shared" si="26"/>
        <v>FF  9th year of service</v>
      </c>
      <c r="T52" s="322" cm="1">
        <f t="array" aca="1" ref="T52" ca="1">IF($R52="Y",VLOOKUP(S52,INDIRECT($P$1),2,0)*INDIRECT($Q$1),VLOOKUP(S52,INDIRECT($P$1),2,0))</f>
        <v>34.893972527867646</v>
      </c>
      <c r="U52" s="292">
        <f t="shared" ca="1" si="27"/>
        <v>0.31954187296582093</v>
      </c>
      <c r="V52" s="292">
        <f t="shared" ca="1" si="28"/>
        <v>0.43617465659834559</v>
      </c>
      <c r="W52" s="296"/>
      <c r="Y52" s="297"/>
      <c r="Z52" s="282"/>
      <c r="AA52" s="98"/>
      <c r="AB52" s="203" t="str">
        <f t="shared" si="19"/>
        <v>FF  9th year of service</v>
      </c>
      <c r="AC52" s="203"/>
      <c r="AD52" s="203"/>
      <c r="AE52" s="255">
        <f t="shared" ca="1" si="25"/>
        <v>0.32</v>
      </c>
      <c r="AF52" s="255">
        <f t="shared" ca="1" si="25"/>
        <v>0.436</v>
      </c>
    </row>
    <row r="53" spans="1:32" ht="17.25" customHeight="1">
      <c r="A53" s="56">
        <f t="shared" ca="1" si="29"/>
        <v>42.841354171225454</v>
      </c>
      <c r="B53" s="52" t="s">
        <v>164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160"/>
      <c r="P53" s="281"/>
      <c r="Q53" s="281"/>
      <c r="R53" s="291" t="s">
        <v>287</v>
      </c>
      <c r="S53" s="326" t="str">
        <f t="shared" si="26"/>
        <v>FF  10th year of service</v>
      </c>
      <c r="T53" s="322" cm="1">
        <f t="array" aca="1" ref="T53" ca="1">IF($R53="Y",VLOOKUP(S53,INDIRECT($P$1),2,0)*INDIRECT($Q$1),VLOOKUP(S53,INDIRECT($P$1),2,0))</f>
        <v>42.841354171225454</v>
      </c>
      <c r="U53" s="292">
        <f t="shared" ca="1" si="27"/>
        <v>0.39232009314309024</v>
      </c>
      <c r="V53" s="292">
        <f t="shared" ca="1" si="28"/>
        <v>0.53551692714031818</v>
      </c>
      <c r="W53" s="296"/>
      <c r="Y53" s="297"/>
      <c r="Z53" s="282"/>
      <c r="AA53" s="98"/>
      <c r="AB53" s="203" t="str">
        <f t="shared" si="19"/>
        <v>FF  10th year of service</v>
      </c>
      <c r="AC53" s="203"/>
      <c r="AD53" s="203"/>
      <c r="AE53" s="255">
        <f t="shared" ca="1" si="25"/>
        <v>0.39200000000000002</v>
      </c>
      <c r="AF53" s="255">
        <f t="shared" ca="1" si="25"/>
        <v>0.53600000000000003</v>
      </c>
    </row>
    <row r="54" spans="1:32" ht="17.25" customHeight="1">
      <c r="A54" s="56">
        <f t="shared" ca="1" si="29"/>
        <v>50.788735814583156</v>
      </c>
      <c r="B54" s="52" t="s">
        <v>165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160"/>
      <c r="P54" s="281"/>
      <c r="Q54" s="281"/>
      <c r="R54" s="291" t="s">
        <v>287</v>
      </c>
      <c r="S54" s="326" t="str">
        <f t="shared" si="26"/>
        <v>FF  11th year of service</v>
      </c>
      <c r="T54" s="322" cm="1">
        <f t="array" aca="1" ref="T54" ca="1">IF($R54="Y",VLOOKUP(S54,INDIRECT($P$1),2,0)*INDIRECT($Q$1),VLOOKUP(S54,INDIRECT($P$1),2,0))</f>
        <v>50.788735814583156</v>
      </c>
      <c r="U54" s="292">
        <f t="shared" ca="1" si="27"/>
        <v>0.46509831332035856</v>
      </c>
      <c r="V54" s="292">
        <f t="shared" ca="1" si="28"/>
        <v>0.63485919768228949</v>
      </c>
      <c r="W54" s="296"/>
      <c r="Y54" s="297"/>
      <c r="Z54" s="282"/>
      <c r="AA54" s="98"/>
      <c r="AB54" s="203" t="str">
        <f t="shared" si="19"/>
        <v>FF  11th year of service</v>
      </c>
      <c r="AC54" s="203"/>
      <c r="AD54" s="203"/>
      <c r="AE54" s="255">
        <f t="shared" ca="1" si="25"/>
        <v>0.46500000000000002</v>
      </c>
      <c r="AF54" s="255">
        <f t="shared" ca="1" si="25"/>
        <v>0.63500000000000001</v>
      </c>
    </row>
    <row r="55" spans="1:32" ht="17.25" customHeight="1">
      <c r="A55" s="56">
        <f t="shared" ca="1" si="29"/>
        <v>153.49933021711925</v>
      </c>
      <c r="B55" s="52" t="s">
        <v>166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160"/>
      <c r="P55" s="281"/>
      <c r="Q55" s="281"/>
      <c r="R55" s="291" t="s">
        <v>287</v>
      </c>
      <c r="S55" s="326" t="str">
        <f t="shared" si="26"/>
        <v>FF  12th year of service</v>
      </c>
      <c r="T55" s="322" cm="1">
        <f t="array" aca="1" ref="T55" ca="1">IF($R55="Y",VLOOKUP(S55,INDIRECT($P$1),2,0)*INDIRECT($Q$1),VLOOKUP(S55,INDIRECT($P$1),2,0))</f>
        <v>153.49933021711925</v>
      </c>
      <c r="U55" s="292">
        <f t="shared" ca="1" si="27"/>
        <v>1.4056715221347917</v>
      </c>
      <c r="V55" s="292">
        <f t="shared" ca="1" si="28"/>
        <v>1.9187416277139906</v>
      </c>
      <c r="W55" s="296"/>
      <c r="Y55" s="297"/>
      <c r="Z55" s="282"/>
      <c r="AA55" s="98"/>
      <c r="AB55" s="203" t="str">
        <f t="shared" si="19"/>
        <v>FF  12th year of service</v>
      </c>
      <c r="AC55" s="203"/>
      <c r="AD55" s="203"/>
      <c r="AE55" s="255">
        <f t="shared" ca="1" si="25"/>
        <v>1.4059999999999999</v>
      </c>
      <c r="AF55" s="255">
        <f t="shared" ca="1" si="25"/>
        <v>1.919</v>
      </c>
    </row>
    <row r="56" spans="1:32" ht="17.25" customHeight="1">
      <c r="A56" s="56">
        <f t="shared" ca="1" si="29"/>
        <v>162.12968997045289</v>
      </c>
      <c r="B56" s="52" t="s">
        <v>167</v>
      </c>
      <c r="P56" s="281"/>
      <c r="Q56" s="281"/>
      <c r="R56" s="291" t="s">
        <v>287</v>
      </c>
      <c r="S56" s="326" t="str">
        <f t="shared" si="26"/>
        <v>FF  13th year of service</v>
      </c>
      <c r="T56" s="322" cm="1">
        <f t="array" aca="1" ref="T56" ca="1">IF($R56="Y",VLOOKUP(S56,INDIRECT($P$1),2,0)*INDIRECT($Q$1),VLOOKUP(S56,INDIRECT($P$1),2,0))</f>
        <v>162.12968997045289</v>
      </c>
      <c r="U56" s="292">
        <f t="shared" ca="1" si="27"/>
        <v>1.484704120608543</v>
      </c>
      <c r="V56" s="292">
        <f t="shared" ca="1" si="28"/>
        <v>2.0266211246306609</v>
      </c>
      <c r="W56" s="296"/>
      <c r="Y56" s="297"/>
      <c r="Z56" s="282"/>
      <c r="AA56" s="98"/>
      <c r="AB56" s="203" t="str">
        <f t="shared" si="19"/>
        <v>FF  13th year of service</v>
      </c>
      <c r="AC56" s="203"/>
      <c r="AD56" s="203"/>
      <c r="AE56" s="255">
        <f t="shared" ca="1" si="25"/>
        <v>1.4850000000000001</v>
      </c>
      <c r="AF56" s="255">
        <f t="shared" ca="1" si="25"/>
        <v>2.0270000000000001</v>
      </c>
    </row>
    <row r="57" spans="1:32" ht="17.25" customHeight="1">
      <c r="A57" s="56">
        <f t="shared" ca="1" si="29"/>
        <v>170.74452749401416</v>
      </c>
      <c r="B57" s="52" t="s">
        <v>168</v>
      </c>
      <c r="P57" s="281"/>
      <c r="Q57" s="281"/>
      <c r="R57" s="291" t="s">
        <v>287</v>
      </c>
      <c r="S57" s="326" t="str">
        <f t="shared" si="26"/>
        <v>FF  14th year of service</v>
      </c>
      <c r="T57" s="322" cm="1">
        <f t="array" aca="1" ref="T57" ca="1">IF($R57="Y",VLOOKUP(S57,INDIRECT($P$1),2,0)*INDIRECT($Q$1),VLOOKUP(S57,INDIRECT($P$1),2,0))</f>
        <v>170.74452749401416</v>
      </c>
      <c r="U57" s="292">
        <f t="shared" ca="1" si="27"/>
        <v>1.5635945741210089</v>
      </c>
      <c r="V57" s="292">
        <f t="shared" ca="1" si="28"/>
        <v>2.1343065936751771</v>
      </c>
      <c r="W57" s="296"/>
      <c r="Y57" s="297"/>
      <c r="Z57" s="282"/>
      <c r="AA57" s="98"/>
      <c r="AB57" s="203" t="str">
        <f t="shared" si="19"/>
        <v>FF  14th year of service</v>
      </c>
      <c r="AC57" s="203"/>
      <c r="AD57" s="203"/>
      <c r="AE57" s="255">
        <f t="shared" ca="1" si="25"/>
        <v>1.5640000000000001</v>
      </c>
      <c r="AF57" s="255">
        <f t="shared" ca="1" si="25"/>
        <v>2.1339999999999999</v>
      </c>
    </row>
    <row r="58" spans="1:32" ht="17.25" customHeight="1">
      <c r="A58" s="56">
        <f t="shared" ca="1" si="29"/>
        <v>223.33384196217062</v>
      </c>
      <c r="B58" s="52" t="s">
        <v>169</v>
      </c>
      <c r="P58" s="281"/>
      <c r="Q58" s="281"/>
      <c r="R58" s="291" t="s">
        <v>287</v>
      </c>
      <c r="S58" s="326" t="str">
        <f t="shared" si="26"/>
        <v>FF  15th year of service</v>
      </c>
      <c r="T58" s="322" cm="1">
        <f t="array" aca="1" ref="T58" ca="1">IF($R58="Y",VLOOKUP(S58,INDIRECT($P$1),2,0)*INDIRECT($Q$1),VLOOKUP(S58,INDIRECT($P$1),2,0))</f>
        <v>223.33384196217062</v>
      </c>
      <c r="U58" s="292">
        <f t="shared" ca="1" si="27"/>
        <v>2.0451817029502806</v>
      </c>
      <c r="V58" s="292">
        <f t="shared" ca="1" si="28"/>
        <v>2.7916730245271326</v>
      </c>
      <c r="W58" s="296"/>
      <c r="Y58" s="297"/>
      <c r="Z58" s="282"/>
      <c r="AA58" s="98"/>
      <c r="AB58" s="203" t="str">
        <f t="shared" si="19"/>
        <v>FF  15th year of service</v>
      </c>
      <c r="AC58" s="203"/>
      <c r="AD58" s="203"/>
      <c r="AE58" s="255">
        <f t="shared" ca="1" si="25"/>
        <v>2.0449999999999999</v>
      </c>
      <c r="AF58" s="255">
        <f t="shared" ca="1" si="25"/>
        <v>2.7919999999999998</v>
      </c>
    </row>
    <row r="59" spans="1:32" ht="17.25" customHeight="1">
      <c r="A59" s="56">
        <f t="shared" ca="1" si="29"/>
        <v>231.94867948573193</v>
      </c>
      <c r="B59" s="52" t="s">
        <v>170</v>
      </c>
      <c r="P59" s="281"/>
      <c r="Q59" s="281"/>
      <c r="R59" s="291" t="s">
        <v>287</v>
      </c>
      <c r="S59" s="326" t="str">
        <f t="shared" si="26"/>
        <v>FF  16th year of service</v>
      </c>
      <c r="T59" s="322" cm="1">
        <f t="array" aca="1" ref="T59" ca="1">IF($R59="Y",VLOOKUP(S59,INDIRECT($P$1),2,0)*INDIRECT($Q$1),VLOOKUP(S59,INDIRECT($P$1),2,0))</f>
        <v>231.94867948573193</v>
      </c>
      <c r="U59" s="292">
        <f t="shared" ca="1" si="27"/>
        <v>2.1240721564627467</v>
      </c>
      <c r="V59" s="292">
        <f t="shared" ca="1" si="28"/>
        <v>2.8993584935716492</v>
      </c>
      <c r="W59" s="296"/>
      <c r="Y59" s="297"/>
      <c r="Z59" s="282"/>
      <c r="AA59" s="98"/>
      <c r="AB59" s="203" t="str">
        <f t="shared" si="19"/>
        <v>FF  16th year of service</v>
      </c>
      <c r="AC59" s="203"/>
      <c r="AD59" s="203"/>
      <c r="AE59" s="255">
        <f t="shared" ca="1" si="25"/>
        <v>2.1240000000000001</v>
      </c>
      <c r="AF59" s="255">
        <f t="shared" ca="1" si="25"/>
        <v>2.899</v>
      </c>
    </row>
    <row r="60" spans="1:32" ht="17.25" customHeight="1">
      <c r="A60" s="56">
        <f t="shared" ca="1" si="29"/>
        <v>240.57903923906562</v>
      </c>
      <c r="B60" s="52" t="s">
        <v>171</v>
      </c>
      <c r="P60" s="281"/>
      <c r="Q60" s="281"/>
      <c r="R60" s="291" t="s">
        <v>287</v>
      </c>
      <c r="S60" s="326" t="str">
        <f t="shared" si="26"/>
        <v>FF  17th year of service</v>
      </c>
      <c r="T60" s="322" cm="1">
        <f t="array" aca="1" ref="T60" ca="1">IF($R60="Y",VLOOKUP(S60,INDIRECT($P$1),2,0)*INDIRECT($Q$1),VLOOKUP(S60,INDIRECT($P$1),2,0))</f>
        <v>240.57903923906562</v>
      </c>
      <c r="U60" s="292">
        <f t="shared" ca="1" si="27"/>
        <v>2.2031047549364984</v>
      </c>
      <c r="V60" s="292">
        <f t="shared" ca="1" si="28"/>
        <v>3.0072379904883202</v>
      </c>
      <c r="W60" s="296"/>
      <c r="Y60" s="297"/>
      <c r="Z60" s="282"/>
      <c r="AA60" s="98"/>
      <c r="AB60" s="203" t="str">
        <f t="shared" si="19"/>
        <v>FF  17th year of service</v>
      </c>
      <c r="AC60" s="203"/>
      <c r="AD60" s="203"/>
      <c r="AE60" s="255">
        <f t="shared" ca="1" si="25"/>
        <v>2.2029999999999998</v>
      </c>
      <c r="AF60" s="255">
        <f t="shared" ca="1" si="25"/>
        <v>3.0070000000000001</v>
      </c>
    </row>
    <row r="61" spans="1:32" ht="17.25" customHeight="1">
      <c r="A61" s="56">
        <f t="shared" ca="1" si="29"/>
        <v>249.20939899240048</v>
      </c>
      <c r="B61" s="52" t="s">
        <v>172</v>
      </c>
      <c r="P61" s="281"/>
      <c r="Q61" s="281"/>
      <c r="R61" s="291" t="s">
        <v>287</v>
      </c>
      <c r="S61" s="326" t="str">
        <f t="shared" si="26"/>
        <v>FF  18th year of service</v>
      </c>
      <c r="T61" s="322" cm="1">
        <f t="array" aca="1" ref="T61" ca="1">IF($R61="Y",VLOOKUP(S61,INDIRECT($P$1),2,0)*INDIRECT($Q$1),VLOOKUP(S61,INDIRECT($P$1),2,0))</f>
        <v>249.20939899240048</v>
      </c>
      <c r="U61" s="292">
        <f t="shared" ca="1" si="27"/>
        <v>2.2821373534102607</v>
      </c>
      <c r="V61" s="292">
        <f t="shared" ca="1" si="28"/>
        <v>3.1151174874050058</v>
      </c>
      <c r="W61" s="296"/>
      <c r="Y61" s="297"/>
      <c r="Z61" s="282"/>
      <c r="AA61" s="98"/>
      <c r="AB61" s="203" t="str">
        <f t="shared" si="19"/>
        <v>FF  18th year of service</v>
      </c>
      <c r="AC61" s="203"/>
      <c r="AD61" s="203"/>
      <c r="AE61" s="255">
        <f t="shared" ca="1" si="25"/>
        <v>2.282</v>
      </c>
      <c r="AF61" s="255">
        <f t="shared" ca="1" si="25"/>
        <v>3.1150000000000002</v>
      </c>
    </row>
    <row r="62" spans="1:32" ht="17.25" customHeight="1">
      <c r="A62" s="56">
        <f t="shared" ca="1" si="29"/>
        <v>273.67243311336051</v>
      </c>
      <c r="B62" s="52" t="s">
        <v>173</v>
      </c>
      <c r="P62" s="281"/>
      <c r="Q62" s="281"/>
      <c r="R62" s="291" t="s">
        <v>287</v>
      </c>
      <c r="S62" s="326" t="str">
        <f t="shared" si="26"/>
        <v>FF  19th year of service</v>
      </c>
      <c r="T62" s="322" cm="1">
        <f t="array" aca="1" ref="T62" ca="1">IF($R62="Y",VLOOKUP(S62,INDIRECT($P$1),2,0)*INDIRECT($Q$1),VLOOKUP(S62,INDIRECT($P$1),2,0))</f>
        <v>273.67243311336051</v>
      </c>
      <c r="U62" s="292">
        <f t="shared" ca="1" si="27"/>
        <v>2.5061578123934112</v>
      </c>
      <c r="V62" s="292">
        <f t="shared" ca="1" si="28"/>
        <v>3.4209054139170063</v>
      </c>
      <c r="W62" s="296"/>
      <c r="Y62" s="297"/>
      <c r="Z62" s="282"/>
      <c r="AA62" s="98"/>
      <c r="AB62" s="203" t="str">
        <f t="shared" si="19"/>
        <v>FF  19th year of service</v>
      </c>
      <c r="AC62" s="203"/>
      <c r="AD62" s="203"/>
      <c r="AE62" s="255">
        <f t="shared" ca="1" si="25"/>
        <v>2.5059999999999998</v>
      </c>
      <c r="AF62" s="255">
        <f t="shared" ca="1" si="25"/>
        <v>3.4209999999999998</v>
      </c>
    </row>
    <row r="63" spans="1:32" ht="17.25" customHeight="1">
      <c r="A63" s="56">
        <f t="shared" ca="1" si="29"/>
        <v>343.83291168362797</v>
      </c>
      <c r="B63" s="52" t="s">
        <v>174</v>
      </c>
      <c r="P63" s="281"/>
      <c r="Q63" s="281"/>
      <c r="R63" s="291" t="s">
        <v>287</v>
      </c>
      <c r="S63" s="326" t="str">
        <f t="shared" si="26"/>
        <v>FF  20th year of service</v>
      </c>
      <c r="T63" s="322" cm="1">
        <f t="array" aca="1" ref="T63" ca="1">IF($R63="Y",VLOOKUP(S63,INDIRECT($P$1),2,0)*INDIRECT($Q$1),VLOOKUP(S63,INDIRECT($P$1),2,0))</f>
        <v>343.83291168362797</v>
      </c>
      <c r="U63" s="292">
        <f t="shared" ca="1" si="27"/>
        <v>3.1486530373958606</v>
      </c>
      <c r="V63" s="292">
        <f t="shared" ca="1" si="28"/>
        <v>4.2979113960453494</v>
      </c>
      <c r="W63" s="296"/>
      <c r="Y63" s="297"/>
      <c r="Z63" s="282"/>
      <c r="AA63" s="98"/>
      <c r="AB63" s="203" t="str">
        <f t="shared" si="19"/>
        <v>FF  20th year of service</v>
      </c>
      <c r="AC63" s="203"/>
      <c r="AD63" s="203"/>
      <c r="AE63" s="255">
        <f t="shared" ca="1" si="25"/>
        <v>3.149</v>
      </c>
      <c r="AF63" s="255">
        <f t="shared" ca="1" si="25"/>
        <v>4.298</v>
      </c>
    </row>
    <row r="64" spans="1:32" ht="17.25" customHeight="1">
      <c r="A64" s="56">
        <f t="shared" ca="1" si="29"/>
        <v>405.02428750945421</v>
      </c>
      <c r="B64" s="52" t="s">
        <v>175</v>
      </c>
      <c r="P64" s="281"/>
      <c r="Q64" s="281"/>
      <c r="R64" s="291" t="s">
        <v>287</v>
      </c>
      <c r="S64" s="326" t="str">
        <f t="shared" si="26"/>
        <v>FF  21st year of service</v>
      </c>
      <c r="T64" s="322" cm="1">
        <f t="array" aca="1" ref="T64" ca="1">IF($R64="Y",VLOOKUP(S64,INDIRECT($P$1),2,0)*INDIRECT($Q$1),VLOOKUP(S64,INDIRECT($P$1),2,0))</f>
        <v>405.02428750945421</v>
      </c>
      <c r="U64" s="292">
        <f t="shared" ca="1" si="27"/>
        <v>3.7090136218814487</v>
      </c>
      <c r="V64" s="292">
        <f t="shared" ca="1" si="28"/>
        <v>5.0628035938681775</v>
      </c>
      <c r="W64" s="296"/>
      <c r="Y64" s="297"/>
      <c r="Z64" s="282"/>
      <c r="AA64" s="98"/>
      <c r="AB64" s="203" t="str">
        <f t="shared" si="19"/>
        <v>FF  21st year of service</v>
      </c>
      <c r="AC64" s="203"/>
      <c r="AD64" s="203"/>
      <c r="AE64" s="255">
        <f t="shared" ca="1" si="25"/>
        <v>3.7090000000000001</v>
      </c>
      <c r="AF64" s="255">
        <f t="shared" ca="1" si="25"/>
        <v>5.0629999999999997</v>
      </c>
    </row>
    <row r="65" spans="1:36" ht="17.25" customHeight="1">
      <c r="A65" s="56">
        <f t="shared" ca="1" si="29"/>
        <v>413.65464726278805</v>
      </c>
      <c r="B65" s="52" t="s">
        <v>176</v>
      </c>
      <c r="P65" s="281"/>
      <c r="Q65" s="281"/>
      <c r="R65" s="291" t="s">
        <v>287</v>
      </c>
      <c r="S65" s="326" t="str">
        <f t="shared" si="26"/>
        <v>FF  22nd year of service</v>
      </c>
      <c r="T65" s="322" cm="1">
        <f t="array" aca="1" ref="T65" ca="1">IF($R65="Y",VLOOKUP(S65,INDIRECT($P$1),2,0)*INDIRECT($Q$1),VLOOKUP(S65,INDIRECT($P$1),2,0))</f>
        <v>413.65464726278805</v>
      </c>
      <c r="U65" s="292">
        <f t="shared" ca="1" si="27"/>
        <v>3.7880462203552017</v>
      </c>
      <c r="V65" s="292">
        <f t="shared" ca="1" si="28"/>
        <v>5.1706830907848502</v>
      </c>
      <c r="W65" s="296"/>
      <c r="Y65" s="297"/>
      <c r="Z65" s="282"/>
      <c r="AA65" s="98"/>
      <c r="AB65" s="203" t="str">
        <f t="shared" si="19"/>
        <v>FF  22nd year of service</v>
      </c>
      <c r="AC65" s="203"/>
      <c r="AD65" s="203"/>
      <c r="AE65" s="255">
        <f t="shared" ca="1" si="25"/>
        <v>3.7879999999999998</v>
      </c>
      <c r="AF65" s="255">
        <f t="shared" ca="1" si="25"/>
        <v>5.1710000000000003</v>
      </c>
    </row>
    <row r="66" spans="1:36" ht="17.25" customHeight="1">
      <c r="A66" s="56">
        <f t="shared" ca="1" si="29"/>
        <v>422.28500701612194</v>
      </c>
      <c r="B66" s="52" t="s">
        <v>177</v>
      </c>
      <c r="P66" s="281"/>
      <c r="Q66" s="281"/>
      <c r="R66" s="291" t="s">
        <v>287</v>
      </c>
      <c r="S66" s="326" t="str">
        <f t="shared" si="26"/>
        <v>FF  23rd year of service</v>
      </c>
      <c r="T66" s="322" cm="1">
        <f t="array" aca="1" ref="T66" ca="1">IF($R66="Y",VLOOKUP(S66,INDIRECT($P$1),2,0)*INDIRECT($Q$1),VLOOKUP(S66,INDIRECT($P$1),2,0))</f>
        <v>422.28500701612194</v>
      </c>
      <c r="U66" s="292">
        <f t="shared" ca="1" si="27"/>
        <v>3.8670788188289555</v>
      </c>
      <c r="V66" s="292">
        <f t="shared" ca="1" si="28"/>
        <v>5.2785625877015239</v>
      </c>
      <c r="W66" s="296"/>
      <c r="Y66" s="297"/>
      <c r="Z66" s="282"/>
      <c r="AA66" s="98"/>
      <c r="AB66" s="203" t="str">
        <f t="shared" si="19"/>
        <v>FF  23rd year of service</v>
      </c>
      <c r="AC66" s="203"/>
      <c r="AD66" s="203"/>
      <c r="AE66" s="255">
        <f t="shared" ca="1" si="25"/>
        <v>3.867</v>
      </c>
      <c r="AF66" s="255">
        <f t="shared" ca="1" si="25"/>
        <v>5.2789999999999999</v>
      </c>
    </row>
    <row r="67" spans="1:36" ht="17.25" customHeight="1">
      <c r="A67" s="56">
        <f t="shared" ca="1" si="29"/>
        <v>430.91536676945583</v>
      </c>
      <c r="B67" s="52" t="s">
        <v>178</v>
      </c>
      <c r="P67" s="281"/>
      <c r="Q67" s="281"/>
      <c r="R67" s="291" t="s">
        <v>287</v>
      </c>
      <c r="S67" s="326" t="str">
        <f t="shared" si="26"/>
        <v>FF  24th year of service</v>
      </c>
      <c r="T67" s="322" cm="1">
        <f t="array" aca="1" ref="T67" ca="1">IF($R67="Y",VLOOKUP(S67,INDIRECT($P$1),2,0)*INDIRECT($Q$1),VLOOKUP(S67,INDIRECT($P$1),2,0))</f>
        <v>430.91536676945583</v>
      </c>
      <c r="U67" s="292">
        <f t="shared" ca="1" si="27"/>
        <v>3.946111417302709</v>
      </c>
      <c r="V67" s="292">
        <f t="shared" ca="1" si="28"/>
        <v>5.3864420846181975</v>
      </c>
      <c r="W67" s="296"/>
      <c r="Y67" s="297"/>
      <c r="Z67" s="282"/>
      <c r="AA67" s="98"/>
      <c r="AB67" s="203" t="str">
        <f t="shared" si="19"/>
        <v>FF  24th year of service</v>
      </c>
      <c r="AC67" s="203"/>
      <c r="AD67" s="203"/>
      <c r="AE67" s="255">
        <f t="shared" ca="1" si="25"/>
        <v>3.9460000000000002</v>
      </c>
      <c r="AF67" s="255">
        <f t="shared" ca="1" si="25"/>
        <v>5.3860000000000001</v>
      </c>
    </row>
    <row r="68" spans="1:36" ht="17.25" customHeight="1">
      <c r="A68" s="56">
        <f t="shared" ca="1" si="29"/>
        <v>465.90247267595663</v>
      </c>
      <c r="B68" s="52" t="s">
        <v>179</v>
      </c>
      <c r="P68" s="281"/>
      <c r="Q68" s="281"/>
      <c r="R68" s="291" t="s">
        <v>287</v>
      </c>
      <c r="S68" s="326" t="str">
        <f t="shared" si="26"/>
        <v>FF  25th year of service</v>
      </c>
      <c r="T68" s="322" cm="1">
        <f t="array" aca="1" ref="T68" ca="1">IF($R68="Y",VLOOKUP(S68,INDIRECT($P$1),2,0)*INDIRECT($Q$1),VLOOKUP(S68,INDIRECT($P$1),2,0))</f>
        <v>465.90247267595663</v>
      </c>
      <c r="U68" s="292">
        <f t="shared" ca="1" si="27"/>
        <v>4.2665061600362328</v>
      </c>
      <c r="V68" s="292">
        <f t="shared" ca="1" si="28"/>
        <v>5.8237809084494581</v>
      </c>
      <c r="W68" s="296"/>
      <c r="Y68" s="297"/>
      <c r="Z68" s="282"/>
      <c r="AA68" s="98"/>
      <c r="AB68" s="203" t="str">
        <f t="shared" si="19"/>
        <v>FF  25th year of service</v>
      </c>
      <c r="AC68" s="203"/>
      <c r="AD68" s="203"/>
      <c r="AE68" s="255">
        <f t="shared" ca="1" si="25"/>
        <v>4.2670000000000003</v>
      </c>
      <c r="AF68" s="255">
        <f t="shared" ca="1" si="25"/>
        <v>5.8239999999999998</v>
      </c>
    </row>
    <row r="69" spans="1:36" ht="17.25" customHeight="1">
      <c r="A69" s="56">
        <f t="shared" ca="1" si="29"/>
        <v>533.6712547598321</v>
      </c>
      <c r="B69" s="52" t="s">
        <v>180</v>
      </c>
      <c r="P69" s="281"/>
      <c r="Q69" s="281"/>
      <c r="R69" s="291" t="s">
        <v>287</v>
      </c>
      <c r="S69" s="326" t="str">
        <f t="shared" si="26"/>
        <v>FF 26th year of service</v>
      </c>
      <c r="T69" s="322" cm="1">
        <f t="array" aca="1" ref="T69" ca="1">IF($R69="Y",VLOOKUP(S69,INDIRECT($P$1),2,0)*INDIRECT($Q$1),VLOOKUP(S69,INDIRECT($P$1),2,0))</f>
        <v>533.6712547598321</v>
      </c>
      <c r="U69" s="292">
        <f t="shared" ca="1" si="27"/>
        <v>4.8870994025625647</v>
      </c>
      <c r="V69" s="292">
        <f t="shared" ca="1" si="28"/>
        <v>6.670890684497901</v>
      </c>
      <c r="W69" s="296"/>
      <c r="Y69" s="297"/>
      <c r="Z69" s="282"/>
      <c r="AA69" s="98"/>
      <c r="AB69" s="203" t="str">
        <f t="shared" si="19"/>
        <v>FF 26th year of service</v>
      </c>
      <c r="AC69" s="203"/>
      <c r="AD69" s="203"/>
      <c r="AE69" s="255">
        <f t="shared" ca="1" si="25"/>
        <v>4.8869999999999996</v>
      </c>
      <c r="AF69" s="255">
        <f t="shared" ca="1" si="25"/>
        <v>6.6710000000000003</v>
      </c>
    </row>
    <row r="70" spans="1:36" s="98" customFormat="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158"/>
      <c r="O70" s="281"/>
      <c r="P70" s="283"/>
      <c r="Q70" s="282"/>
      <c r="R70" s="282"/>
      <c r="S70" s="285"/>
      <c r="T70" s="282"/>
      <c r="U70" s="282"/>
      <c r="V70" s="282"/>
      <c r="W70" s="282"/>
      <c r="X70" s="282"/>
      <c r="Y70" s="282"/>
      <c r="Z70" s="286"/>
      <c r="AB70" s="256"/>
      <c r="AC70" s="256"/>
      <c r="AD70" s="256"/>
      <c r="AE70" s="256"/>
      <c r="AF70" s="256"/>
      <c r="AG70" s="256"/>
      <c r="AH70" s="256"/>
      <c r="AI70" s="256"/>
      <c r="AJ70" s="256"/>
    </row>
    <row r="71" spans="1:36" s="98" customFormat="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158"/>
      <c r="O71" s="281"/>
      <c r="P71" s="283"/>
      <c r="Q71" s="282"/>
      <c r="R71" s="282"/>
      <c r="S71" s="285"/>
      <c r="T71" s="282"/>
      <c r="U71" s="282"/>
      <c r="V71" s="282"/>
      <c r="W71" s="282"/>
      <c r="X71" s="282"/>
      <c r="Y71" s="282"/>
      <c r="Z71" s="286"/>
      <c r="AB71" s="256"/>
      <c r="AC71" s="256"/>
      <c r="AD71" s="256"/>
      <c r="AE71" s="256"/>
      <c r="AF71" s="256"/>
      <c r="AG71" s="256"/>
      <c r="AH71" s="256"/>
      <c r="AI71" s="256"/>
      <c r="AJ71" s="256"/>
    </row>
    <row r="72" spans="1:36" s="98" customFormat="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158"/>
      <c r="O72" s="281"/>
      <c r="P72" s="283"/>
      <c r="Q72" s="282"/>
      <c r="R72" s="282"/>
      <c r="S72" s="285"/>
      <c r="T72" s="282"/>
      <c r="U72" s="282"/>
      <c r="V72" s="282"/>
      <c r="W72" s="282"/>
      <c r="X72" s="282"/>
      <c r="Y72" s="282"/>
      <c r="Z72" s="286"/>
      <c r="AB72" s="256"/>
      <c r="AC72" s="256"/>
      <c r="AD72" s="256"/>
      <c r="AE72" s="256"/>
      <c r="AF72" s="256"/>
      <c r="AG72" s="256"/>
      <c r="AH72" s="256"/>
      <c r="AI72" s="256"/>
      <c r="AJ72" s="256"/>
    </row>
    <row r="73" spans="1:36" s="98" customFormat="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158"/>
      <c r="O73" s="281"/>
      <c r="P73" s="283"/>
      <c r="Q73" s="282"/>
      <c r="R73" s="282"/>
      <c r="S73" s="285"/>
      <c r="T73" s="282"/>
      <c r="U73" s="282"/>
      <c r="V73" s="282"/>
      <c r="W73" s="282"/>
      <c r="X73" s="282"/>
      <c r="Y73" s="282"/>
      <c r="Z73" s="286"/>
      <c r="AB73" s="256"/>
      <c r="AC73" s="256"/>
      <c r="AD73" s="256"/>
      <c r="AE73" s="256"/>
      <c r="AF73" s="256"/>
      <c r="AG73" s="256"/>
      <c r="AH73" s="256"/>
      <c r="AI73" s="256"/>
      <c r="AJ73" s="256"/>
    </row>
    <row r="74" spans="1:36" s="98" customFormat="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158"/>
      <c r="O74" s="281"/>
      <c r="P74" s="283"/>
      <c r="Q74" s="282"/>
      <c r="R74" s="282"/>
      <c r="S74" s="285"/>
      <c r="T74" s="282"/>
      <c r="U74" s="282"/>
      <c r="V74" s="282"/>
      <c r="W74" s="282"/>
      <c r="X74" s="282"/>
      <c r="Y74" s="282"/>
      <c r="Z74" s="286"/>
      <c r="AB74" s="256"/>
      <c r="AC74" s="256"/>
      <c r="AD74" s="256"/>
      <c r="AE74" s="256"/>
      <c r="AF74" s="256"/>
      <c r="AG74" s="256"/>
      <c r="AH74" s="256"/>
      <c r="AI74" s="256"/>
      <c r="AJ74" s="256"/>
    </row>
    <row r="75" spans="1:36" s="98" customFormat="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158"/>
      <c r="O75" s="281"/>
      <c r="P75" s="283"/>
      <c r="Q75" s="282"/>
      <c r="R75" s="282"/>
      <c r="S75" s="285"/>
      <c r="T75" s="282"/>
      <c r="U75" s="282"/>
      <c r="V75" s="282"/>
      <c r="W75" s="282"/>
      <c r="X75" s="282"/>
      <c r="Y75" s="282"/>
      <c r="Z75" s="286"/>
      <c r="AB75" s="256"/>
      <c r="AC75" s="256"/>
      <c r="AD75" s="256"/>
      <c r="AE75" s="256"/>
      <c r="AF75" s="256"/>
      <c r="AG75" s="256"/>
      <c r="AH75" s="256"/>
      <c r="AI75" s="256"/>
      <c r="AJ75" s="256"/>
    </row>
    <row r="76" spans="1:36" s="98" customFormat="1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158"/>
      <c r="O76" s="281"/>
      <c r="P76" s="283"/>
      <c r="Q76" s="282"/>
      <c r="R76" s="282"/>
      <c r="S76" s="285"/>
      <c r="T76" s="282"/>
      <c r="U76" s="282"/>
      <c r="V76" s="282"/>
      <c r="W76" s="282"/>
      <c r="X76" s="282"/>
      <c r="Y76" s="282"/>
      <c r="Z76" s="286"/>
      <c r="AB76" s="256"/>
      <c r="AC76" s="256"/>
      <c r="AD76" s="256"/>
      <c r="AE76" s="256"/>
      <c r="AF76" s="256"/>
      <c r="AG76" s="256"/>
      <c r="AH76" s="256"/>
      <c r="AI76" s="256"/>
      <c r="AJ76" s="256"/>
    </row>
    <row r="77" spans="1:36" s="98" customFormat="1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158"/>
      <c r="O77" s="281"/>
      <c r="P77" s="283"/>
      <c r="Q77" s="282"/>
      <c r="R77" s="282"/>
      <c r="S77" s="285"/>
      <c r="T77" s="282"/>
      <c r="U77" s="282"/>
      <c r="V77" s="282"/>
      <c r="W77" s="282"/>
      <c r="X77" s="282"/>
      <c r="Y77" s="282"/>
      <c r="Z77" s="286"/>
      <c r="AB77" s="256"/>
      <c r="AC77" s="256"/>
      <c r="AD77" s="256"/>
      <c r="AE77" s="256"/>
      <c r="AF77" s="256"/>
      <c r="AG77" s="256"/>
      <c r="AH77" s="256"/>
      <c r="AI77" s="256"/>
      <c r="AJ77" s="256"/>
    </row>
    <row r="78" spans="1:36" s="98" customFormat="1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158"/>
      <c r="O78" s="281"/>
      <c r="P78" s="283"/>
      <c r="Q78" s="282"/>
      <c r="R78" s="282"/>
      <c r="S78" s="285"/>
      <c r="T78" s="282"/>
      <c r="U78" s="282"/>
      <c r="V78" s="282"/>
      <c r="W78" s="282"/>
      <c r="X78" s="282"/>
      <c r="Y78" s="282"/>
      <c r="Z78" s="286"/>
      <c r="AB78" s="256"/>
      <c r="AC78" s="256"/>
      <c r="AD78" s="256"/>
      <c r="AE78" s="256"/>
      <c r="AF78" s="256"/>
      <c r="AG78" s="256"/>
      <c r="AH78" s="256"/>
      <c r="AI78" s="256"/>
      <c r="AJ78" s="256"/>
    </row>
    <row r="79" spans="1:36" s="98" customFormat="1">
      <c r="A79" s="42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158"/>
      <c r="O79" s="281"/>
      <c r="P79" s="283"/>
      <c r="Q79" s="282"/>
      <c r="R79" s="282"/>
      <c r="S79" s="285"/>
      <c r="T79" s="282"/>
      <c r="U79" s="282"/>
      <c r="V79" s="282"/>
      <c r="W79" s="282"/>
      <c r="X79" s="282"/>
      <c r="Y79" s="282"/>
      <c r="Z79" s="286"/>
      <c r="AB79" s="256"/>
      <c r="AC79" s="256"/>
      <c r="AD79" s="256"/>
      <c r="AE79" s="256"/>
      <c r="AF79" s="256"/>
      <c r="AG79" s="256"/>
      <c r="AH79" s="256"/>
      <c r="AI79" s="256"/>
      <c r="AJ79" s="256"/>
    </row>
    <row r="80" spans="1:36" s="98" customFormat="1">
      <c r="A80" s="41"/>
      <c r="B80" s="5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157"/>
      <c r="O80" s="281"/>
      <c r="P80" s="282"/>
      <c r="Q80" s="282"/>
      <c r="R80" s="282"/>
      <c r="S80" s="285"/>
      <c r="T80" s="282"/>
      <c r="U80" s="282"/>
      <c r="V80" s="282"/>
      <c r="W80" s="282"/>
      <c r="X80" s="282"/>
      <c r="Y80" s="282"/>
      <c r="Z80" s="286"/>
      <c r="AB80" s="256"/>
      <c r="AC80" s="256"/>
      <c r="AD80" s="256"/>
      <c r="AE80" s="256"/>
      <c r="AF80" s="256"/>
      <c r="AG80" s="256"/>
      <c r="AH80" s="256"/>
      <c r="AI80" s="256"/>
      <c r="AJ80" s="256"/>
    </row>
    <row r="81" spans="1:36" s="98" customFormat="1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157"/>
      <c r="O81" s="281"/>
      <c r="P81" s="282"/>
      <c r="Q81" s="282"/>
      <c r="R81" s="282"/>
      <c r="S81" s="285"/>
      <c r="T81" s="282"/>
      <c r="U81" s="282"/>
      <c r="V81" s="282"/>
      <c r="W81" s="282"/>
      <c r="X81" s="282"/>
      <c r="Y81" s="282"/>
      <c r="Z81" s="286"/>
      <c r="AB81" s="256"/>
      <c r="AC81" s="256"/>
      <c r="AD81" s="256"/>
      <c r="AE81" s="256"/>
      <c r="AF81" s="256"/>
      <c r="AG81" s="256"/>
      <c r="AH81" s="256"/>
      <c r="AI81" s="256"/>
      <c r="AJ81" s="256"/>
    </row>
    <row r="82" spans="1:36" s="98" customFormat="1">
      <c r="A82" s="5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157"/>
      <c r="O82" s="281"/>
      <c r="P82" s="282"/>
      <c r="Q82" s="282"/>
      <c r="R82" s="282"/>
      <c r="S82" s="285"/>
      <c r="T82" s="282"/>
      <c r="U82" s="282"/>
      <c r="V82" s="282"/>
      <c r="W82" s="282"/>
      <c r="X82" s="282"/>
      <c r="Y82" s="282"/>
      <c r="Z82" s="286"/>
      <c r="AB82" s="256"/>
      <c r="AC82" s="256"/>
      <c r="AD82" s="256"/>
      <c r="AE82" s="256"/>
      <c r="AF82" s="256"/>
      <c r="AG82" s="256"/>
      <c r="AH82" s="256"/>
      <c r="AI82" s="256"/>
      <c r="AJ82" s="256"/>
    </row>
    <row r="83" spans="1:36" s="98" customFormat="1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281"/>
      <c r="P83" s="282"/>
      <c r="Q83" s="282"/>
      <c r="R83" s="282"/>
      <c r="S83" s="285"/>
      <c r="T83" s="282"/>
      <c r="U83" s="282"/>
      <c r="V83" s="282"/>
      <c r="W83" s="282"/>
      <c r="X83" s="282"/>
      <c r="Y83" s="282"/>
      <c r="Z83" s="286"/>
      <c r="AB83" s="256"/>
      <c r="AC83" s="256"/>
      <c r="AD83" s="256"/>
      <c r="AE83" s="256"/>
      <c r="AF83" s="256"/>
      <c r="AG83" s="256"/>
      <c r="AH83" s="256"/>
      <c r="AI83" s="256"/>
      <c r="AJ83" s="256"/>
    </row>
    <row r="84" spans="1:36" s="98" customFormat="1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300"/>
      <c r="P84" s="282"/>
      <c r="Q84" s="282"/>
      <c r="R84" s="282"/>
      <c r="S84" s="285"/>
      <c r="T84" s="282"/>
      <c r="U84" s="282"/>
      <c r="V84" s="282"/>
      <c r="W84" s="282"/>
      <c r="X84" s="282"/>
      <c r="Y84" s="282"/>
      <c r="Z84" s="286"/>
      <c r="AB84" s="256"/>
      <c r="AC84" s="256"/>
      <c r="AD84" s="256"/>
      <c r="AE84" s="256"/>
      <c r="AF84" s="256"/>
      <c r="AG84" s="256"/>
      <c r="AH84" s="256"/>
      <c r="AI84" s="256"/>
      <c r="AJ84" s="256"/>
    </row>
    <row r="85" spans="1:36" s="98" customFormat="1">
      <c r="A85" s="51"/>
      <c r="B85" s="5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157"/>
      <c r="O85" s="300"/>
      <c r="P85" s="282"/>
      <c r="Q85" s="282"/>
      <c r="R85" s="282"/>
      <c r="S85" s="285"/>
      <c r="T85" s="282"/>
      <c r="U85" s="282"/>
      <c r="V85" s="282"/>
      <c r="W85" s="282"/>
      <c r="X85" s="282"/>
      <c r="Y85" s="282"/>
      <c r="Z85" s="286"/>
      <c r="AB85" s="256"/>
      <c r="AC85" s="256"/>
      <c r="AD85" s="256"/>
      <c r="AE85" s="256"/>
      <c r="AF85" s="256"/>
      <c r="AG85" s="256"/>
      <c r="AH85" s="256"/>
      <c r="AI85" s="256"/>
      <c r="AJ85" s="256"/>
    </row>
    <row r="86" spans="1:36" s="98" customFormat="1">
      <c r="A86" s="51"/>
      <c r="B86" s="5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157"/>
      <c r="O86" s="300"/>
      <c r="P86" s="282"/>
      <c r="Q86" s="282"/>
      <c r="R86" s="282"/>
      <c r="S86" s="285"/>
      <c r="T86" s="282"/>
      <c r="U86" s="282"/>
      <c r="V86" s="282"/>
      <c r="W86" s="282"/>
      <c r="X86" s="282"/>
      <c r="Y86" s="282"/>
      <c r="Z86" s="286"/>
      <c r="AB86" s="256"/>
      <c r="AC86" s="256"/>
      <c r="AD86" s="256"/>
      <c r="AE86" s="256"/>
      <c r="AF86" s="256"/>
      <c r="AG86" s="256"/>
      <c r="AH86" s="256"/>
      <c r="AI86" s="256"/>
      <c r="AJ86" s="256"/>
    </row>
    <row r="87" spans="1:36" s="98" customFormat="1">
      <c r="A87" s="51"/>
      <c r="B87" s="5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157"/>
      <c r="O87" s="300"/>
      <c r="P87" s="282"/>
      <c r="Q87" s="282"/>
      <c r="R87" s="282"/>
      <c r="S87" s="285"/>
      <c r="T87" s="282"/>
      <c r="U87" s="282"/>
      <c r="V87" s="282"/>
      <c r="W87" s="282"/>
      <c r="X87" s="282"/>
      <c r="Y87" s="282"/>
      <c r="Z87" s="286"/>
      <c r="AB87" s="256"/>
      <c r="AC87" s="256"/>
      <c r="AD87" s="256"/>
      <c r="AE87" s="256"/>
      <c r="AF87" s="256"/>
      <c r="AG87" s="256"/>
      <c r="AH87" s="256"/>
      <c r="AI87" s="256"/>
      <c r="AJ87" s="256"/>
    </row>
    <row r="88" spans="1:36" s="98" customFormat="1">
      <c r="A88" s="51"/>
      <c r="B88" s="5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157"/>
      <c r="O88" s="300"/>
      <c r="P88" s="282"/>
      <c r="Q88" s="282"/>
      <c r="R88" s="282"/>
      <c r="S88" s="285"/>
      <c r="T88" s="282"/>
      <c r="U88" s="282"/>
      <c r="V88" s="282"/>
      <c r="W88" s="282"/>
      <c r="X88" s="282"/>
      <c r="Y88" s="282"/>
      <c r="Z88" s="286"/>
      <c r="AB88" s="256"/>
      <c r="AC88" s="256"/>
      <c r="AD88" s="256"/>
      <c r="AE88" s="256"/>
      <c r="AF88" s="256"/>
      <c r="AG88" s="256"/>
      <c r="AH88" s="256"/>
      <c r="AI88" s="256"/>
      <c r="AJ88" s="256"/>
    </row>
    <row r="89" spans="1:36" s="98" customFormat="1">
      <c r="A89" s="51"/>
      <c r="B89" s="5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157"/>
      <c r="O89" s="300"/>
      <c r="P89" s="282"/>
      <c r="Q89" s="282"/>
      <c r="R89" s="282"/>
      <c r="S89" s="285"/>
      <c r="T89" s="282"/>
      <c r="U89" s="282"/>
      <c r="V89" s="282"/>
      <c r="W89" s="282"/>
      <c r="X89" s="282"/>
      <c r="Y89" s="282"/>
      <c r="Z89" s="286"/>
      <c r="AB89" s="256"/>
      <c r="AC89" s="256"/>
      <c r="AD89" s="256"/>
      <c r="AE89" s="256"/>
      <c r="AF89" s="256"/>
      <c r="AG89" s="256"/>
      <c r="AH89" s="256"/>
      <c r="AI89" s="256"/>
      <c r="AJ89" s="256"/>
    </row>
    <row r="90" spans="1:36" s="98" customFormat="1">
      <c r="A90" s="51"/>
      <c r="B90" s="5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157"/>
      <c r="O90" s="300"/>
      <c r="P90" s="282"/>
      <c r="Q90" s="282"/>
      <c r="R90" s="282"/>
      <c r="S90" s="285"/>
      <c r="T90" s="282"/>
      <c r="U90" s="282"/>
      <c r="V90" s="282"/>
      <c r="W90" s="282"/>
      <c r="X90" s="282"/>
      <c r="Y90" s="282"/>
      <c r="Z90" s="286"/>
      <c r="AB90" s="256"/>
      <c r="AC90" s="256"/>
      <c r="AD90" s="256"/>
      <c r="AE90" s="256"/>
      <c r="AF90" s="256"/>
      <c r="AG90" s="256"/>
      <c r="AH90" s="256"/>
      <c r="AI90" s="256"/>
      <c r="AJ90" s="256"/>
    </row>
    <row r="91" spans="1:36" s="98" customFormat="1">
      <c r="A91" s="51"/>
      <c r="B91" s="5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157"/>
      <c r="O91" s="300"/>
      <c r="P91" s="282"/>
      <c r="Q91" s="282"/>
      <c r="R91" s="282"/>
      <c r="S91" s="285"/>
      <c r="T91" s="282"/>
      <c r="U91" s="282"/>
      <c r="V91" s="282"/>
      <c r="W91" s="282"/>
      <c r="X91" s="282"/>
      <c r="Y91" s="282"/>
      <c r="Z91" s="286"/>
      <c r="AB91" s="256"/>
      <c r="AC91" s="256"/>
      <c r="AD91" s="256"/>
      <c r="AE91" s="256"/>
      <c r="AF91" s="256"/>
      <c r="AG91" s="256"/>
      <c r="AH91" s="256"/>
      <c r="AI91" s="256"/>
      <c r="AJ91" s="256"/>
    </row>
    <row r="92" spans="1:36" s="98" customFormat="1">
      <c r="A92" s="51"/>
      <c r="B92" s="5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157"/>
      <c r="O92" s="300"/>
      <c r="P92" s="282"/>
      <c r="Q92" s="282"/>
      <c r="R92" s="282"/>
      <c r="S92" s="285"/>
      <c r="T92" s="282"/>
      <c r="U92" s="282"/>
      <c r="V92" s="282"/>
      <c r="W92" s="282"/>
      <c r="X92" s="282"/>
      <c r="Y92" s="282"/>
      <c r="Z92" s="286"/>
      <c r="AB92" s="256"/>
      <c r="AC92" s="256"/>
      <c r="AD92" s="256"/>
      <c r="AE92" s="256"/>
      <c r="AF92" s="256"/>
      <c r="AG92" s="256"/>
      <c r="AH92" s="256"/>
      <c r="AI92" s="256"/>
      <c r="AJ92" s="256"/>
    </row>
    <row r="93" spans="1:36" s="98" customFormat="1">
      <c r="A93" s="51"/>
      <c r="B93" s="5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157"/>
      <c r="O93" s="300"/>
      <c r="P93" s="282"/>
      <c r="Q93" s="282"/>
      <c r="R93" s="282"/>
      <c r="S93" s="285"/>
      <c r="T93" s="282"/>
      <c r="U93" s="282"/>
      <c r="V93" s="282"/>
      <c r="W93" s="282"/>
      <c r="X93" s="282"/>
      <c r="Y93" s="282"/>
      <c r="Z93" s="286"/>
      <c r="AB93" s="256"/>
      <c r="AC93" s="256"/>
      <c r="AD93" s="256"/>
      <c r="AE93" s="256"/>
      <c r="AF93" s="256"/>
      <c r="AG93" s="256"/>
      <c r="AH93" s="256"/>
      <c r="AI93" s="256"/>
      <c r="AJ93" s="256"/>
    </row>
    <row r="94" spans="1:36" s="98" customFormat="1">
      <c r="A94" s="51"/>
      <c r="B94" s="5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157"/>
      <c r="O94" s="300"/>
      <c r="P94" s="282"/>
      <c r="Q94" s="282"/>
      <c r="R94" s="282"/>
      <c r="S94" s="285"/>
      <c r="T94" s="282"/>
      <c r="U94" s="282"/>
      <c r="V94" s="282"/>
      <c r="W94" s="282"/>
      <c r="X94" s="282"/>
      <c r="Y94" s="282"/>
      <c r="Z94" s="286"/>
      <c r="AB94" s="256"/>
      <c r="AC94" s="256"/>
      <c r="AD94" s="256"/>
      <c r="AE94" s="256"/>
      <c r="AF94" s="256"/>
      <c r="AG94" s="256"/>
      <c r="AH94" s="256"/>
      <c r="AI94" s="256"/>
      <c r="AJ94" s="256"/>
    </row>
    <row r="95" spans="1:36" s="98" customFormat="1">
      <c r="A95" s="51"/>
      <c r="B95" s="5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157"/>
      <c r="O95" s="300"/>
      <c r="P95" s="282"/>
      <c r="Q95" s="282"/>
      <c r="R95" s="282"/>
      <c r="S95" s="285"/>
      <c r="T95" s="282"/>
      <c r="U95" s="282"/>
      <c r="V95" s="282"/>
      <c r="W95" s="282"/>
      <c r="X95" s="282"/>
      <c r="Y95" s="282"/>
      <c r="Z95" s="286"/>
      <c r="AB95" s="256"/>
      <c r="AC95" s="256"/>
      <c r="AD95" s="256"/>
      <c r="AE95" s="256"/>
      <c r="AF95" s="256"/>
      <c r="AG95" s="256"/>
      <c r="AH95" s="256"/>
      <c r="AI95" s="256"/>
      <c r="AJ95" s="256"/>
    </row>
    <row r="96" spans="1:36" s="98" customFormat="1">
      <c r="A96" s="51"/>
      <c r="B96" s="5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157"/>
      <c r="O96" s="300"/>
      <c r="P96" s="282"/>
      <c r="Q96" s="282"/>
      <c r="R96" s="282"/>
      <c r="S96" s="285"/>
      <c r="T96" s="282"/>
      <c r="U96" s="282"/>
      <c r="V96" s="282"/>
      <c r="W96" s="282"/>
      <c r="X96" s="282"/>
      <c r="Y96" s="282"/>
      <c r="Z96" s="286"/>
      <c r="AB96" s="256"/>
      <c r="AC96" s="256"/>
      <c r="AD96" s="256"/>
      <c r="AE96" s="256"/>
      <c r="AF96" s="256"/>
      <c r="AG96" s="256"/>
      <c r="AH96" s="256"/>
      <c r="AI96" s="256"/>
      <c r="AJ96" s="256"/>
    </row>
    <row r="97" spans="1:36" s="98" customFormat="1">
      <c r="A97" s="51"/>
      <c r="B97" s="5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157"/>
      <c r="O97" s="300"/>
      <c r="P97" s="282"/>
      <c r="Q97" s="282"/>
      <c r="R97" s="282"/>
      <c r="S97" s="285"/>
      <c r="T97" s="282"/>
      <c r="U97" s="282"/>
      <c r="V97" s="282"/>
      <c r="W97" s="282"/>
      <c r="X97" s="282"/>
      <c r="Y97" s="282"/>
      <c r="Z97" s="286"/>
      <c r="AB97" s="256"/>
      <c r="AC97" s="256"/>
      <c r="AD97" s="256"/>
      <c r="AE97" s="256"/>
      <c r="AF97" s="256"/>
      <c r="AG97" s="256"/>
      <c r="AH97" s="256"/>
      <c r="AI97" s="256"/>
      <c r="AJ97" s="256"/>
    </row>
    <row r="98" spans="1:36" s="98" customFormat="1">
      <c r="A98" s="42"/>
      <c r="B98" s="5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157"/>
      <c r="O98" s="300"/>
      <c r="P98" s="282"/>
      <c r="Q98" s="282"/>
      <c r="R98" s="282"/>
      <c r="S98" s="285"/>
      <c r="T98" s="282"/>
      <c r="U98" s="282"/>
      <c r="V98" s="282"/>
      <c r="W98" s="282"/>
      <c r="X98" s="282"/>
      <c r="Y98" s="282"/>
      <c r="Z98" s="286"/>
      <c r="AB98" s="256"/>
      <c r="AC98" s="256"/>
      <c r="AD98" s="256"/>
      <c r="AE98" s="256"/>
      <c r="AF98" s="256"/>
      <c r="AG98" s="256"/>
      <c r="AH98" s="256"/>
      <c r="AI98" s="256"/>
      <c r="AJ98" s="256"/>
    </row>
    <row r="99" spans="1:36" s="98" customFormat="1">
      <c r="A99" s="42"/>
      <c r="B99" s="5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157"/>
      <c r="O99" s="300"/>
      <c r="P99" s="282"/>
      <c r="Q99" s="282"/>
      <c r="R99" s="282"/>
      <c r="S99" s="285"/>
      <c r="T99" s="282"/>
      <c r="U99" s="282"/>
      <c r="V99" s="282"/>
      <c r="W99" s="282"/>
      <c r="X99" s="282"/>
      <c r="Y99" s="282"/>
      <c r="Z99" s="286"/>
      <c r="AB99" s="256"/>
      <c r="AC99" s="256"/>
      <c r="AD99" s="256"/>
      <c r="AE99" s="256"/>
      <c r="AF99" s="256"/>
      <c r="AG99" s="256"/>
      <c r="AH99" s="256"/>
      <c r="AI99" s="256"/>
      <c r="AJ99" s="256"/>
    </row>
    <row r="100" spans="1:36" s="98" customFormat="1">
      <c r="A100" s="42"/>
      <c r="B100" s="5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157"/>
      <c r="O100" s="281"/>
      <c r="P100" s="282"/>
      <c r="Q100" s="282"/>
      <c r="R100" s="282"/>
      <c r="S100" s="285"/>
      <c r="T100" s="282"/>
      <c r="U100" s="282"/>
      <c r="V100" s="282"/>
      <c r="W100" s="282"/>
      <c r="X100" s="282"/>
      <c r="Y100" s="282"/>
      <c r="Z100" s="286"/>
      <c r="AB100" s="256"/>
      <c r="AC100" s="256"/>
      <c r="AD100" s="256"/>
      <c r="AE100" s="256"/>
      <c r="AF100" s="256"/>
      <c r="AG100" s="256"/>
      <c r="AH100" s="256"/>
      <c r="AI100" s="256"/>
      <c r="AJ100" s="256"/>
    </row>
    <row r="101" spans="1:36" s="98" customFormat="1">
      <c r="A101" s="42"/>
      <c r="B101" s="5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157"/>
      <c r="O101" s="281"/>
      <c r="P101" s="282"/>
      <c r="Q101" s="282"/>
      <c r="R101" s="282"/>
      <c r="S101" s="285"/>
      <c r="T101" s="282"/>
      <c r="U101" s="282"/>
      <c r="V101" s="282"/>
      <c r="W101" s="282"/>
      <c r="X101" s="282"/>
      <c r="Y101" s="282"/>
      <c r="Z101" s="286"/>
      <c r="AB101" s="256"/>
      <c r="AC101" s="256"/>
      <c r="AD101" s="256"/>
      <c r="AE101" s="256"/>
      <c r="AF101" s="256"/>
      <c r="AG101" s="256"/>
      <c r="AH101" s="256"/>
      <c r="AI101" s="256"/>
      <c r="AJ101" s="256"/>
    </row>
  </sheetData>
  <sheetProtection sheet="1" objects="1" scenarios="1"/>
  <mergeCells count="5">
    <mergeCell ref="F2:L2"/>
    <mergeCell ref="U27:V27"/>
    <mergeCell ref="B83:N83"/>
    <mergeCell ref="B84:N84"/>
    <mergeCell ref="G6:L6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8F40-DD1B-4333-87A5-BB85F75F8297}">
  <sheetPr codeName="Sheet28"/>
  <dimension ref="A1:AJ101"/>
  <sheetViews>
    <sheetView showGridLines="0" topLeftCell="A61" zoomScaleNormal="100" workbookViewId="0">
      <selection activeCell="I26" sqref="I26"/>
    </sheetView>
  </sheetViews>
  <sheetFormatPr defaultColWidth="9.140625" defaultRowHeight="15"/>
  <cols>
    <col min="1" max="1" width="10.42578125" style="42" customWidth="1"/>
    <col min="2" max="2" width="7.5703125" style="42" customWidth="1"/>
    <col min="3" max="3" width="10.5703125" style="42" customWidth="1"/>
    <col min="4" max="4" width="25.42578125" style="42" hidden="1" customWidth="1"/>
    <col min="5" max="5" width="10.5703125" style="42" hidden="1" customWidth="1"/>
    <col min="6" max="6" width="6.42578125" style="42" hidden="1" customWidth="1"/>
    <col min="7" max="11" width="6.5703125" style="42" customWidth="1"/>
    <col min="12" max="12" width="6.5703125" style="42" bestFit="1" customWidth="1"/>
    <col min="13" max="13" width="6.42578125" style="42" customWidth="1"/>
    <col min="14" max="14" width="46.42578125" style="157" customWidth="1"/>
    <col min="15" max="15" width="23.85546875" style="260" hidden="1" customWidth="1"/>
    <col min="16" max="16" width="14.85546875" style="261" hidden="1" customWidth="1"/>
    <col min="17" max="17" width="11.5703125" style="261" hidden="1" customWidth="1"/>
    <col min="18" max="18" width="7.85546875" style="261" hidden="1" customWidth="1"/>
    <col min="19" max="19" width="24.42578125" style="264" hidden="1" customWidth="1"/>
    <col min="20" max="20" width="32.140625" style="261" hidden="1" customWidth="1"/>
    <col min="21" max="21" width="9.42578125" style="261" hidden="1" customWidth="1"/>
    <col min="22" max="25" width="7.42578125" style="261" hidden="1" customWidth="1"/>
    <col min="26" max="26" width="7.42578125" style="265" hidden="1" customWidth="1"/>
    <col min="27" max="27" width="0" style="42" hidden="1" customWidth="1"/>
    <col min="28" max="28" width="24.42578125" style="254" hidden="1" customWidth="1"/>
    <col min="29" max="29" width="5.85546875" style="254" hidden="1" customWidth="1"/>
    <col min="30" max="30" width="32.140625" style="254" hidden="1" customWidth="1"/>
    <col min="31" max="31" width="9.42578125" style="254" hidden="1" customWidth="1"/>
    <col min="32" max="36" width="7.42578125" style="254" hidden="1" customWidth="1"/>
    <col min="37" max="16384" width="9.140625" style="42"/>
  </cols>
  <sheetData>
    <row r="1" spans="1:36" ht="15.75">
      <c r="A1" s="301" t="s">
        <v>140</v>
      </c>
      <c r="B1" s="207"/>
      <c r="C1" s="207"/>
      <c r="D1" s="207"/>
      <c r="E1" s="208"/>
      <c r="F1" s="162"/>
      <c r="G1" s="230"/>
      <c r="H1" s="162"/>
      <c r="I1" s="98"/>
      <c r="J1" s="98"/>
      <c r="K1" s="98"/>
      <c r="L1" s="98"/>
      <c r="M1" s="98"/>
      <c r="O1" s="260" t="s">
        <v>288</v>
      </c>
      <c r="P1" s="261" t="s">
        <v>296</v>
      </c>
      <c r="Q1" s="262" t="s">
        <v>295</v>
      </c>
      <c r="R1" s="263">
        <f>102.5%*104%</f>
        <v>1.0659999999999998</v>
      </c>
    </row>
    <row r="2" spans="1:36" ht="15.75">
      <c r="A2" s="302" t="s">
        <v>309</v>
      </c>
      <c r="B2" s="158"/>
      <c r="C2" s="158"/>
      <c r="D2" s="162"/>
      <c r="E2" s="162"/>
      <c r="F2" s="341" t="s">
        <v>80</v>
      </c>
      <c r="G2" s="341"/>
      <c r="H2" s="341"/>
      <c r="I2" s="341"/>
      <c r="J2" s="341"/>
      <c r="K2" s="341"/>
      <c r="L2" s="341"/>
      <c r="M2" s="162"/>
      <c r="N2" s="158"/>
      <c r="U2" s="261">
        <v>3</v>
      </c>
      <c r="V2" s="261">
        <v>4</v>
      </c>
      <c r="W2" s="261">
        <v>5</v>
      </c>
      <c r="X2" s="261">
        <v>6</v>
      </c>
      <c r="Y2" s="261">
        <v>7</v>
      </c>
      <c r="Z2" s="265">
        <v>8</v>
      </c>
    </row>
    <row r="3" spans="1:36">
      <c r="A3" s="303" t="s">
        <v>304</v>
      </c>
      <c r="B3" s="158"/>
      <c r="C3" s="158"/>
      <c r="D3" s="162"/>
      <c r="E3" s="162"/>
      <c r="F3" s="233"/>
      <c r="G3" s="233"/>
      <c r="H3" s="233"/>
      <c r="I3" s="233"/>
      <c r="J3" s="233"/>
      <c r="K3" s="233"/>
      <c r="L3" s="233"/>
      <c r="M3" s="162"/>
      <c r="N3" s="158"/>
    </row>
    <row r="4" spans="1:36">
      <c r="A4" s="252" t="s">
        <v>307</v>
      </c>
      <c r="B4" s="158"/>
      <c r="C4" s="158"/>
      <c r="D4" s="162"/>
      <c r="E4" s="162"/>
      <c r="F4" s="233"/>
      <c r="G4" s="233"/>
      <c r="H4" s="233"/>
      <c r="I4" s="233"/>
      <c r="J4" s="233"/>
      <c r="K4" s="233"/>
      <c r="L4" s="233"/>
      <c r="M4" s="162"/>
      <c r="N4" s="158"/>
    </row>
    <row r="5" spans="1:36" ht="15.75" thickBot="1">
      <c r="A5" s="252"/>
      <c r="B5" s="158"/>
      <c r="C5" s="158"/>
      <c r="D5" s="162"/>
      <c r="E5" s="162"/>
      <c r="F5" s="233"/>
      <c r="G5" s="233"/>
      <c r="H5" s="233"/>
      <c r="I5" s="233"/>
      <c r="J5" s="233"/>
      <c r="K5" s="233"/>
      <c r="L5" s="233"/>
      <c r="M5" s="162"/>
      <c r="N5" s="158"/>
      <c r="O5" s="273" t="s">
        <v>301</v>
      </c>
      <c r="AB5" s="304" t="s">
        <v>302</v>
      </c>
    </row>
    <row r="6" spans="1:36" ht="15.75" thickBot="1">
      <c r="A6" s="233"/>
      <c r="B6" s="158"/>
      <c r="C6" s="158"/>
      <c r="D6" s="162"/>
      <c r="E6" s="162"/>
      <c r="F6" s="233"/>
      <c r="G6" s="344" t="s">
        <v>300</v>
      </c>
      <c r="H6" s="345"/>
      <c r="I6" s="345"/>
      <c r="J6" s="345"/>
      <c r="K6" s="345"/>
      <c r="L6" s="346"/>
      <c r="M6" s="162"/>
      <c r="N6" s="158"/>
    </row>
    <row r="7" spans="1:36" ht="30" customHeight="1" thickBot="1">
      <c r="A7" s="213" t="s">
        <v>137</v>
      </c>
      <c r="B7" s="214" t="s">
        <v>114</v>
      </c>
      <c r="C7" s="214" t="s">
        <v>138</v>
      </c>
      <c r="D7" s="215" t="s">
        <v>4</v>
      </c>
      <c r="E7" s="215" t="s">
        <v>5</v>
      </c>
      <c r="F7" s="305" t="s">
        <v>6</v>
      </c>
      <c r="G7" s="311" t="s">
        <v>7</v>
      </c>
      <c r="H7" s="312" t="s">
        <v>8</v>
      </c>
      <c r="I7" s="312" t="s">
        <v>9</v>
      </c>
      <c r="J7" s="312" t="s">
        <v>10</v>
      </c>
      <c r="K7" s="312" t="s">
        <v>11</v>
      </c>
      <c r="L7" s="313" t="s">
        <v>12</v>
      </c>
      <c r="M7" s="159"/>
      <c r="N7" s="42"/>
      <c r="O7" s="266" t="s">
        <v>285</v>
      </c>
      <c r="P7" s="266" t="s">
        <v>277</v>
      </c>
      <c r="Q7" s="266" t="s">
        <v>138</v>
      </c>
      <c r="R7" s="266" t="s">
        <v>286</v>
      </c>
      <c r="S7" s="266" t="s">
        <v>137</v>
      </c>
      <c r="T7" s="267" t="s">
        <v>279</v>
      </c>
      <c r="U7" s="267" t="s">
        <v>7</v>
      </c>
      <c r="V7" s="267" t="s">
        <v>8</v>
      </c>
      <c r="W7" s="267" t="s">
        <v>9</v>
      </c>
      <c r="X7" s="267" t="s">
        <v>10</v>
      </c>
      <c r="Y7" s="267" t="s">
        <v>11</v>
      </c>
      <c r="Z7" s="267" t="s">
        <v>12</v>
      </c>
      <c r="AB7" s="253" t="s">
        <v>137</v>
      </c>
      <c r="AC7" s="202" t="s">
        <v>138</v>
      </c>
      <c r="AD7" s="234" t="s">
        <v>279</v>
      </c>
      <c r="AE7" s="234" t="s">
        <v>7</v>
      </c>
      <c r="AF7" s="234" t="s">
        <v>8</v>
      </c>
      <c r="AG7" s="234" t="s">
        <v>9</v>
      </c>
      <c r="AH7" s="234" t="s">
        <v>10</v>
      </c>
      <c r="AI7" s="234" t="s">
        <v>11</v>
      </c>
      <c r="AJ7" s="234" t="s">
        <v>12</v>
      </c>
    </row>
    <row r="8" spans="1:36" ht="18.75" customHeight="1">
      <c r="A8" s="217" t="s">
        <v>157</v>
      </c>
      <c r="B8" s="211" t="s">
        <v>115</v>
      </c>
      <c r="C8" s="211" t="str">
        <f>Q8</f>
        <v>CFG 5</v>
      </c>
      <c r="D8" s="212" t="s">
        <v>84</v>
      </c>
      <c r="E8" s="209"/>
      <c r="F8" s="306" t="s">
        <v>17</v>
      </c>
      <c r="G8" s="314">
        <f ca="1">U8*$O8</f>
        <v>2093.6420604384994</v>
      </c>
      <c r="H8" s="315"/>
      <c r="I8" s="315"/>
      <c r="J8" s="315"/>
      <c r="K8" s="315"/>
      <c r="L8" s="316"/>
      <c r="M8" s="159"/>
      <c r="N8" s="42"/>
      <c r="O8" s="268">
        <v>80</v>
      </c>
      <c r="P8" s="269" t="s">
        <v>143</v>
      </c>
      <c r="Q8" s="270" t="s">
        <v>156</v>
      </c>
      <c r="R8" s="270" t="s">
        <v>287</v>
      </c>
      <c r="S8" s="270" t="str">
        <f t="shared" ref="S8:S21" si="0">A8</f>
        <v>04440C</v>
      </c>
      <c r="T8" s="268" t="s">
        <v>84</v>
      </c>
      <c r="U8" s="271" cm="1">
        <f t="array" aca="1" ref="U8" ca="1">IF($R8="Y",VLOOKUP($S8,INDIRECT($P$1),U$2,0)*INDIRECT($Q$1),VLOOKUP($S8,INDIRECT($P$1),U$2,0))</f>
        <v>26.170525755481243</v>
      </c>
      <c r="V8" s="271"/>
      <c r="W8" s="271"/>
      <c r="X8" s="271"/>
      <c r="Y8" s="271"/>
      <c r="Z8" s="271"/>
      <c r="AB8" s="203" t="str">
        <f>S8</f>
        <v>04440C</v>
      </c>
      <c r="AC8" s="203" t="str">
        <f t="shared" ref="AC8:AC21" si="1">C8</f>
        <v>CFG 5</v>
      </c>
      <c r="AD8" s="203" t="str">
        <f>T8</f>
        <v>Fire Cadet</v>
      </c>
      <c r="AE8" s="255">
        <f ca="1">ROUND(U8,3)</f>
        <v>26.170999999999999</v>
      </c>
      <c r="AF8" s="203"/>
      <c r="AG8" s="203"/>
      <c r="AH8" s="203"/>
      <c r="AI8" s="203"/>
      <c r="AJ8" s="203"/>
    </row>
    <row r="9" spans="1:36" ht="18.75" customHeight="1">
      <c r="A9" s="218" t="s">
        <v>15</v>
      </c>
      <c r="B9" s="64" t="s">
        <v>115</v>
      </c>
      <c r="C9" s="211" t="str">
        <f t="shared" ref="C9:C21" si="2">Q9</f>
        <v>CFH 1</v>
      </c>
      <c r="D9" s="60" t="s">
        <v>16</v>
      </c>
      <c r="E9" s="60">
        <v>353</v>
      </c>
      <c r="F9" s="307" t="s">
        <v>17</v>
      </c>
      <c r="G9" s="309">
        <f ca="1">U9*$O9</f>
        <v>2990.8651981258045</v>
      </c>
      <c r="H9" s="226">
        <f t="shared" ref="H9:L9" ca="1" si="3">V9*$O9</f>
        <v>3110.489581744544</v>
      </c>
      <c r="I9" s="226">
        <f t="shared" ca="1" si="3"/>
        <v>3234.9705108520789</v>
      </c>
      <c r="J9" s="226">
        <f t="shared" ca="1" si="3"/>
        <v>3364.307985448409</v>
      </c>
      <c r="K9" s="226">
        <f t="shared" ca="1" si="3"/>
        <v>3498.8854170194913</v>
      </c>
      <c r="L9" s="227">
        <f t="shared" ca="1" si="3"/>
        <v>3638.8306093939786</v>
      </c>
      <c r="M9" s="165"/>
      <c r="N9" s="42"/>
      <c r="O9" s="268">
        <v>109.2</v>
      </c>
      <c r="P9" s="270" t="s">
        <v>144</v>
      </c>
      <c r="Q9" s="270" t="s">
        <v>235</v>
      </c>
      <c r="R9" s="270" t="s">
        <v>287</v>
      </c>
      <c r="S9" s="270" t="str">
        <f t="shared" si="0"/>
        <v>04450C</v>
      </c>
      <c r="T9" s="268" t="s">
        <v>16</v>
      </c>
      <c r="U9" s="271" cm="1">
        <f t="array" aca="1" ref="U9" ca="1">IF($R9="Y",VLOOKUP($S9,INDIRECT($P$1),U$2,0)*INDIRECT($Q$1),VLOOKUP($S9,INDIRECT($P$1),U$2,0))</f>
        <v>27.388875440712493</v>
      </c>
      <c r="V9" s="271" cm="1">
        <f t="array" aca="1" ref="V9" ca="1">IF($R9="Y",VLOOKUP($S9,INDIRECT($P$1),V$2,0)*INDIRECT($Q$1),VLOOKUP($S9,INDIRECT($P$1),V$2,0))</f>
        <v>28.484336829162491</v>
      </c>
      <c r="W9" s="271" cm="1">
        <f t="array" aca="1" ref="W9" ca="1">IF($R9="Y",VLOOKUP($S9,INDIRECT($P$1),W$2,0)*INDIRECT($Q$1),VLOOKUP($S9,INDIRECT($P$1),W$2,0))</f>
        <v>29.62427207739999</v>
      </c>
      <c r="X9" s="271" cm="1">
        <f t="array" aca="1" ref="X9" ca="1">IF($R9="Y",VLOOKUP($S9,INDIRECT($P$1),X$2,0)*INDIRECT($Q$1),VLOOKUP($S9,INDIRECT($P$1),X$2,0))</f>
        <v>30.808681185424991</v>
      </c>
      <c r="Y9" s="271" cm="1">
        <f t="array" aca="1" ref="Y9" ca="1">IF($R9="Y",VLOOKUP($S9,INDIRECT($P$1),Y$2,0)*INDIRECT($Q$1),VLOOKUP($S9,INDIRECT($P$1),Y$2,0))</f>
        <v>32.041075247431237</v>
      </c>
      <c r="Z9" s="271" cm="1">
        <f t="array" aca="1" ref="Z9" ca="1">IF($R9="Y",VLOOKUP($S9,INDIRECT($P$1),Z$2,0)*INDIRECT($Q$1),VLOOKUP($S9,INDIRECT($P$1),Z$2,0))</f>
        <v>33.322624628149988</v>
      </c>
      <c r="AB9" s="203" t="str">
        <f>S9</f>
        <v>04450C</v>
      </c>
      <c r="AC9" s="203" t="str">
        <f t="shared" si="1"/>
        <v>CFH 1</v>
      </c>
      <c r="AD9" s="203" t="str">
        <f>T9</f>
        <v>Fire Fighter</v>
      </c>
      <c r="AE9" s="255">
        <f ca="1">ROUND(U9,3)</f>
        <v>27.388999999999999</v>
      </c>
      <c r="AF9" s="255">
        <f t="shared" ref="AF9:AJ9" ca="1" si="4">ROUND(V9,3)</f>
        <v>28.484000000000002</v>
      </c>
      <c r="AG9" s="255">
        <f t="shared" ca="1" si="4"/>
        <v>29.623999999999999</v>
      </c>
      <c r="AH9" s="255">
        <f t="shared" ca="1" si="4"/>
        <v>30.809000000000001</v>
      </c>
      <c r="AI9" s="255">
        <f t="shared" ca="1" si="4"/>
        <v>32.040999999999997</v>
      </c>
      <c r="AJ9" s="255">
        <f t="shared" ca="1" si="4"/>
        <v>33.323</v>
      </c>
    </row>
    <row r="10" spans="1:36" ht="18.75" customHeight="1">
      <c r="A10" s="218" t="s">
        <v>19</v>
      </c>
      <c r="B10" s="64" t="s">
        <v>115</v>
      </c>
      <c r="C10" s="211" t="str">
        <f t="shared" si="2"/>
        <v>CFI 1</v>
      </c>
      <c r="D10" s="60" t="s">
        <v>20</v>
      </c>
      <c r="E10" s="60">
        <v>353</v>
      </c>
      <c r="F10" s="307" t="s">
        <v>17</v>
      </c>
      <c r="G10" s="309">
        <f t="shared" ref="G10:G11" ca="1" si="5">U10*$O10</f>
        <v>2990.8904780039993</v>
      </c>
      <c r="H10" s="226">
        <f t="shared" ref="H10:H11" ca="1" si="6">V10*$O10</f>
        <v>3110.5485681269984</v>
      </c>
      <c r="I10" s="226">
        <f t="shared" ref="I10:I11" ca="1" si="7">W10*$O10</f>
        <v>3234.9817463534987</v>
      </c>
      <c r="J10" s="226">
        <f t="shared" ref="J10:J11" ca="1" si="8">X10*$O10</f>
        <v>3364.3772710404992</v>
      </c>
      <c r="K10" s="226">
        <f t="shared" ref="K10:K11" ca="1" si="9">Y10*$O10</f>
        <v>3498.9224005449987</v>
      </c>
      <c r="L10" s="227">
        <f t="shared" ref="L10:L11" ca="1" si="10">Z10*$O10</f>
        <v>3638.8980224024976</v>
      </c>
      <c r="M10" s="165"/>
      <c r="N10" s="42"/>
      <c r="O10" s="268">
        <v>80</v>
      </c>
      <c r="P10" s="270" t="s">
        <v>143</v>
      </c>
      <c r="Q10" s="270" t="s">
        <v>234</v>
      </c>
      <c r="R10" s="270" t="s">
        <v>287</v>
      </c>
      <c r="S10" s="270" t="str">
        <f t="shared" si="0"/>
        <v>04451C</v>
      </c>
      <c r="T10" s="268" t="s">
        <v>20</v>
      </c>
      <c r="U10" s="271" cm="1">
        <f t="array" aca="1" ref="U10" ca="1">IF($R10="Y",VLOOKUP($S10,INDIRECT($P$1),U$2,0)*INDIRECT($Q$1),VLOOKUP($S10,INDIRECT($P$1),U$2,0))</f>
        <v>37.386130975049994</v>
      </c>
      <c r="V10" s="271" cm="1">
        <f t="array" aca="1" ref="V10" ca="1">IF($R10="Y",VLOOKUP($S10,INDIRECT($P$1),V$2,0)*INDIRECT($Q$1),VLOOKUP($S10,INDIRECT($P$1),V$2,0))</f>
        <v>38.881857101587478</v>
      </c>
      <c r="W10" s="271" cm="1">
        <f t="array" aca="1" ref="W10" ca="1">IF($R10="Y",VLOOKUP($S10,INDIRECT($P$1),W$2,0)*INDIRECT($Q$1),VLOOKUP($S10,INDIRECT($P$1),W$2,0))</f>
        <v>40.437271829418734</v>
      </c>
      <c r="X10" s="271" cm="1">
        <f t="array" aca="1" ref="X10" ca="1">IF($R10="Y",VLOOKUP($S10,INDIRECT($P$1),X$2,0)*INDIRECT($Q$1),VLOOKUP($S10,INDIRECT($P$1),X$2,0))</f>
        <v>42.054715888006243</v>
      </c>
      <c r="Y10" s="271" cm="1">
        <f t="array" aca="1" ref="Y10" ca="1">IF($R10="Y",VLOOKUP($S10,INDIRECT($P$1),Y$2,0)*INDIRECT($Q$1),VLOOKUP($S10,INDIRECT($P$1),Y$2,0))</f>
        <v>43.736530006812487</v>
      </c>
      <c r="Z10" s="271" cm="1">
        <f t="array" aca="1" ref="Z10" ca="1">IF($R10="Y",VLOOKUP($S10,INDIRECT($P$1),Z$2,0)*INDIRECT($Q$1),VLOOKUP($S10,INDIRECT($P$1),Z$2,0))</f>
        <v>45.486225280031221</v>
      </c>
      <c r="AB10" s="203" t="str">
        <f t="shared" ref="AB10:AB11" si="11">S10</f>
        <v>04451C</v>
      </c>
      <c r="AC10" s="203" t="str">
        <f t="shared" si="1"/>
        <v>CFI 1</v>
      </c>
      <c r="AD10" s="203" t="str">
        <f t="shared" ref="AD10:AD11" si="12">T10</f>
        <v>Fire Fighter (40 hrs.)</v>
      </c>
      <c r="AE10" s="255">
        <f t="shared" ref="AE10:AE11" ca="1" si="13">ROUND(U10,3)</f>
        <v>37.386000000000003</v>
      </c>
      <c r="AF10" s="255">
        <f t="shared" ref="AF10:AF11" ca="1" si="14">ROUND(V10,3)</f>
        <v>38.881999999999998</v>
      </c>
      <c r="AG10" s="255">
        <f t="shared" ref="AG10:AG11" ca="1" si="15">ROUND(W10,3)</f>
        <v>40.436999999999998</v>
      </c>
      <c r="AH10" s="255">
        <f t="shared" ref="AH10:AH11" ca="1" si="16">ROUND(X10,3)</f>
        <v>42.055</v>
      </c>
      <c r="AI10" s="255">
        <f t="shared" ref="AI10:AI11" ca="1" si="17">ROUND(Y10,3)</f>
        <v>43.737000000000002</v>
      </c>
      <c r="AJ10" s="255">
        <f t="shared" ref="AJ10:AJ11" ca="1" si="18">ROUND(Z10,3)</f>
        <v>45.485999999999997</v>
      </c>
    </row>
    <row r="11" spans="1:36" ht="18.75" customHeight="1">
      <c r="A11" s="218" t="s">
        <v>21</v>
      </c>
      <c r="B11" s="64" t="s">
        <v>115</v>
      </c>
      <c r="C11" s="211" t="str">
        <f t="shared" si="2"/>
        <v>CFF 1</v>
      </c>
      <c r="D11" s="60" t="s">
        <v>22</v>
      </c>
      <c r="E11" s="60"/>
      <c r="F11" s="307" t="s">
        <v>17</v>
      </c>
      <c r="G11" s="309">
        <f t="shared" ca="1" si="5"/>
        <v>2990.8651981258045</v>
      </c>
      <c r="H11" s="226">
        <f t="shared" ca="1" si="6"/>
        <v>3110.489581744544</v>
      </c>
      <c r="I11" s="226">
        <f t="shared" ca="1" si="7"/>
        <v>3234.9705108520789</v>
      </c>
      <c r="J11" s="226">
        <f t="shared" ca="1" si="8"/>
        <v>3364.307985448409</v>
      </c>
      <c r="K11" s="226">
        <f t="shared" ca="1" si="9"/>
        <v>3498.8854170194913</v>
      </c>
      <c r="L11" s="227">
        <f t="shared" ca="1" si="10"/>
        <v>3638.8306093939786</v>
      </c>
      <c r="M11" s="165"/>
      <c r="N11" s="42"/>
      <c r="O11" s="268">
        <v>109.2</v>
      </c>
      <c r="P11" s="270" t="s">
        <v>144</v>
      </c>
      <c r="Q11" s="270" t="s">
        <v>148</v>
      </c>
      <c r="R11" s="270" t="s">
        <v>287</v>
      </c>
      <c r="S11" s="270" t="str">
        <f t="shared" si="0"/>
        <v>04388C</v>
      </c>
      <c r="T11" s="268" t="s">
        <v>22</v>
      </c>
      <c r="U11" s="271" cm="1">
        <f t="array" aca="1" ref="U11" ca="1">IF($R11="Y",VLOOKUP($S11,INDIRECT($P$1),U$2,0)*INDIRECT($Q$1),VLOOKUP($S11,INDIRECT($P$1),U$2,0))</f>
        <v>27.388875440712493</v>
      </c>
      <c r="V11" s="271" cm="1">
        <f t="array" aca="1" ref="V11" ca="1">IF($R11="Y",VLOOKUP($S11,INDIRECT($P$1),V$2,0)*INDIRECT($Q$1),VLOOKUP($S11,INDIRECT($P$1),V$2,0))</f>
        <v>28.484336829162491</v>
      </c>
      <c r="W11" s="271" cm="1">
        <f t="array" aca="1" ref="W11" ca="1">IF($R11="Y",VLOOKUP($S11,INDIRECT($P$1),W$2,0)*INDIRECT($Q$1),VLOOKUP($S11,INDIRECT($P$1),W$2,0))</f>
        <v>29.62427207739999</v>
      </c>
      <c r="X11" s="271" cm="1">
        <f t="array" aca="1" ref="X11" ca="1">IF($R11="Y",VLOOKUP($S11,INDIRECT($P$1),X$2,0)*INDIRECT($Q$1),VLOOKUP($S11,INDIRECT($P$1),X$2,0))</f>
        <v>30.808681185424991</v>
      </c>
      <c r="Y11" s="271" cm="1">
        <f t="array" aca="1" ref="Y11" ca="1">IF($R11="Y",VLOOKUP($S11,INDIRECT($P$1),Y$2,0)*INDIRECT($Q$1),VLOOKUP($S11,INDIRECT($P$1),Y$2,0))</f>
        <v>32.041075247431237</v>
      </c>
      <c r="Z11" s="271" cm="1">
        <f t="array" aca="1" ref="Z11" ca="1">IF($R11="Y",VLOOKUP($S11,INDIRECT($P$1),Z$2,0)*INDIRECT($Q$1),VLOOKUP($S11,INDIRECT($P$1),Z$2,0))</f>
        <v>33.322624628149988</v>
      </c>
      <c r="AB11" s="203" t="str">
        <f t="shared" si="11"/>
        <v>04388C</v>
      </c>
      <c r="AC11" s="203" t="str">
        <f t="shared" si="1"/>
        <v>CFF 1</v>
      </c>
      <c r="AD11" s="203" t="str">
        <f t="shared" si="12"/>
        <v>Fire Inspector 1</v>
      </c>
      <c r="AE11" s="255">
        <f t="shared" ca="1" si="13"/>
        <v>27.388999999999999</v>
      </c>
      <c r="AF11" s="255">
        <f t="shared" ca="1" si="14"/>
        <v>28.484000000000002</v>
      </c>
      <c r="AG11" s="255">
        <f t="shared" ca="1" si="15"/>
        <v>29.623999999999999</v>
      </c>
      <c r="AH11" s="255">
        <f t="shared" ca="1" si="16"/>
        <v>30.809000000000001</v>
      </c>
      <c r="AI11" s="255">
        <f t="shared" ca="1" si="17"/>
        <v>32.040999999999997</v>
      </c>
      <c r="AJ11" s="255">
        <f t="shared" ca="1" si="18"/>
        <v>33.323</v>
      </c>
    </row>
    <row r="12" spans="1:36" ht="18.75" customHeight="1">
      <c r="A12" s="218" t="s">
        <v>23</v>
      </c>
      <c r="B12" s="64" t="s">
        <v>115</v>
      </c>
      <c r="C12" s="211" t="str">
        <f t="shared" si="2"/>
        <v>CFF 2</v>
      </c>
      <c r="D12" s="60" t="s">
        <v>24</v>
      </c>
      <c r="E12" s="60"/>
      <c r="F12" s="307" t="s">
        <v>17</v>
      </c>
      <c r="G12" s="309">
        <f t="shared" ref="G12:G21" ca="1" si="19">U12*$O12</f>
        <v>3707.5890692090243</v>
      </c>
      <c r="H12" s="226">
        <f t="shared" ref="H12:H21" ca="1" si="20">V12*$O12</f>
        <v>3853.1576300442207</v>
      </c>
      <c r="I12" s="226">
        <f t="shared" ref="I12:I21" ca="1" si="21">W12*$O12</f>
        <v>4087.2942441356013</v>
      </c>
      <c r="J12" s="226"/>
      <c r="K12" s="226"/>
      <c r="L12" s="227"/>
      <c r="M12" s="165"/>
      <c r="N12" s="42"/>
      <c r="O12" s="268">
        <v>109.2</v>
      </c>
      <c r="P12" s="270" t="s">
        <v>144</v>
      </c>
      <c r="Q12" s="270" t="s">
        <v>150</v>
      </c>
      <c r="R12" s="270" t="s">
        <v>287</v>
      </c>
      <c r="S12" s="270" t="str">
        <f t="shared" si="0"/>
        <v>04420C</v>
      </c>
      <c r="T12" s="268" t="s">
        <v>24</v>
      </c>
      <c r="U12" s="271" cm="1">
        <f t="array" aca="1" ref="U12" ca="1">IF($R12="Y",VLOOKUP($S12,INDIRECT($P$1),U$2,0)*INDIRECT($Q$1),VLOOKUP($S12,INDIRECT($P$1),U$2,0))</f>
        <v>33.952280853562492</v>
      </c>
      <c r="V12" s="271" cm="1">
        <f t="array" aca="1" ref="V12" ca="1">IF($R12="Y",VLOOKUP($S12,INDIRECT($P$1),V$2,0)*INDIRECT($Q$1),VLOOKUP($S12,INDIRECT($P$1),V$2,0))</f>
        <v>35.285326282456232</v>
      </c>
      <c r="W12" s="271" cm="1">
        <f t="array" aca="1" ref="W12" ca="1">IF($R12="Y",VLOOKUP($S12,INDIRECT($P$1),W$2,0)*INDIRECT($Q$1),VLOOKUP($S12,INDIRECT($P$1),W$2,0))</f>
        <v>37.429434470106237</v>
      </c>
      <c r="X12" s="271"/>
      <c r="Y12" s="271"/>
      <c r="Z12" s="271"/>
      <c r="AB12" s="203" t="str">
        <f t="shared" ref="AB12:AB22" si="22">S12</f>
        <v>04420C</v>
      </c>
      <c r="AC12" s="203" t="str">
        <f t="shared" si="1"/>
        <v>CFF 2</v>
      </c>
      <c r="AD12" s="203" t="str">
        <f t="shared" ref="AD12:AD22" si="23">T12</f>
        <v>Fire Motor Operator</v>
      </c>
      <c r="AE12" s="255">
        <f t="shared" ref="AE12:AE22" ca="1" si="24">ROUND(U12,3)</f>
        <v>33.951999999999998</v>
      </c>
      <c r="AF12" s="255">
        <f t="shared" ref="AF12:AF22" ca="1" si="25">ROUND(V12,3)</f>
        <v>35.284999999999997</v>
      </c>
      <c r="AG12" s="255">
        <f t="shared" ref="AG12:AG22" ca="1" si="26">ROUND(W12,3)</f>
        <v>37.429000000000002</v>
      </c>
      <c r="AH12" s="203"/>
      <c r="AI12" s="203"/>
      <c r="AJ12" s="203"/>
    </row>
    <row r="13" spans="1:36" ht="18.75" customHeight="1">
      <c r="A13" s="218" t="s">
        <v>195</v>
      </c>
      <c r="B13" s="64" t="s">
        <v>115</v>
      </c>
      <c r="C13" s="211" t="str">
        <f t="shared" si="2"/>
        <v>CFG 2</v>
      </c>
      <c r="D13" s="60" t="s">
        <v>26</v>
      </c>
      <c r="E13" s="60"/>
      <c r="F13" s="307" t="s">
        <v>17</v>
      </c>
      <c r="G13" s="309">
        <f t="shared" ca="1" si="19"/>
        <v>3707.6218394214975</v>
      </c>
      <c r="H13" s="226">
        <f t="shared" ca="1" si="20"/>
        <v>3853.2152119889979</v>
      </c>
      <c r="I13" s="226">
        <f t="shared" ca="1" si="21"/>
        <v>4087.2881582389978</v>
      </c>
      <c r="J13" s="226"/>
      <c r="K13" s="226"/>
      <c r="L13" s="227"/>
      <c r="M13" s="165"/>
      <c r="N13" s="42"/>
      <c r="O13" s="268">
        <v>80</v>
      </c>
      <c r="P13" s="270" t="s">
        <v>143</v>
      </c>
      <c r="Q13" s="270" t="s">
        <v>151</v>
      </c>
      <c r="R13" s="270" t="s">
        <v>287</v>
      </c>
      <c r="S13" s="270" t="str">
        <f t="shared" si="0"/>
        <v>04421C</v>
      </c>
      <c r="T13" s="268" t="s">
        <v>26</v>
      </c>
      <c r="U13" s="271" cm="1">
        <f t="array" aca="1" ref="U13" ca="1">IF($R13="Y",VLOOKUP($S13,INDIRECT($P$1),U$2,0)*INDIRECT($Q$1),VLOOKUP($S13,INDIRECT($P$1),U$2,0))</f>
        <v>46.34527299276872</v>
      </c>
      <c r="V13" s="271" cm="1">
        <f t="array" aca="1" ref="V13" ca="1">IF($R13="Y",VLOOKUP($S13,INDIRECT($P$1),V$2,0)*INDIRECT($Q$1),VLOOKUP($S13,INDIRECT($P$1),V$2,0))</f>
        <v>48.165190149862475</v>
      </c>
      <c r="W13" s="271" cm="1">
        <f t="array" aca="1" ref="W13" ca="1">IF($R13="Y",VLOOKUP($S13,INDIRECT($P$1),W$2,0)*INDIRECT($Q$1),VLOOKUP($S13,INDIRECT($P$1),W$2,0))</f>
        <v>51.091101977987471</v>
      </c>
      <c r="X13" s="271"/>
      <c r="Y13" s="271"/>
      <c r="Z13" s="271"/>
      <c r="AB13" s="203" t="str">
        <f t="shared" si="22"/>
        <v>04421C</v>
      </c>
      <c r="AC13" s="203" t="str">
        <f t="shared" si="1"/>
        <v>CFG 2</v>
      </c>
      <c r="AD13" s="203" t="str">
        <f t="shared" si="23"/>
        <v>Fire Motor Operator (40 hrs.)</v>
      </c>
      <c r="AE13" s="255">
        <f t="shared" ca="1" si="24"/>
        <v>46.344999999999999</v>
      </c>
      <c r="AF13" s="255">
        <f t="shared" ca="1" si="25"/>
        <v>48.164999999999999</v>
      </c>
      <c r="AG13" s="255">
        <f t="shared" ca="1" si="26"/>
        <v>51.091000000000001</v>
      </c>
      <c r="AH13" s="203"/>
      <c r="AI13" s="203"/>
      <c r="AJ13" s="203"/>
    </row>
    <row r="14" spans="1:36" ht="18.75" customHeight="1">
      <c r="A14" s="218" t="s">
        <v>27</v>
      </c>
      <c r="B14" s="64" t="s">
        <v>115</v>
      </c>
      <c r="C14" s="211" t="str">
        <f t="shared" si="2"/>
        <v>CFF 2</v>
      </c>
      <c r="D14" s="60" t="s">
        <v>28</v>
      </c>
      <c r="E14" s="60"/>
      <c r="F14" s="307" t="s">
        <v>17</v>
      </c>
      <c r="G14" s="309">
        <f t="shared" ca="1" si="19"/>
        <v>3707.5890692090243</v>
      </c>
      <c r="H14" s="226">
        <f t="shared" ca="1" si="20"/>
        <v>3853.1576300442207</v>
      </c>
      <c r="I14" s="226">
        <f t="shared" ca="1" si="21"/>
        <v>4087.2942441356013</v>
      </c>
      <c r="J14" s="226"/>
      <c r="K14" s="226"/>
      <c r="L14" s="227"/>
      <c r="M14" s="165"/>
      <c r="N14" s="42"/>
      <c r="O14" s="268">
        <v>109.2</v>
      </c>
      <c r="P14" s="270" t="s">
        <v>144</v>
      </c>
      <c r="Q14" s="270" t="s">
        <v>150</v>
      </c>
      <c r="R14" s="270" t="s">
        <v>287</v>
      </c>
      <c r="S14" s="270" t="str">
        <f t="shared" si="0"/>
        <v>04389C</v>
      </c>
      <c r="T14" s="268" t="s">
        <v>28</v>
      </c>
      <c r="U14" s="271" cm="1">
        <f t="array" aca="1" ref="U14" ca="1">IF($R14="Y",VLOOKUP($S14,INDIRECT($P$1),U$2,0)*INDIRECT($Q$1),VLOOKUP($S14,INDIRECT($P$1),U$2,0))</f>
        <v>33.952280853562492</v>
      </c>
      <c r="V14" s="271" cm="1">
        <f t="array" aca="1" ref="V14" ca="1">IF($R14="Y",VLOOKUP($S14,INDIRECT($P$1),V$2,0)*INDIRECT($Q$1),VLOOKUP($S14,INDIRECT($P$1),V$2,0))</f>
        <v>35.285326282456232</v>
      </c>
      <c r="W14" s="271" cm="1">
        <f t="array" aca="1" ref="W14" ca="1">IF($R14="Y",VLOOKUP($S14,INDIRECT($P$1),W$2,0)*INDIRECT($Q$1),VLOOKUP($S14,INDIRECT($P$1),W$2,0))</f>
        <v>37.429434470106237</v>
      </c>
      <c r="X14" s="271"/>
      <c r="Y14" s="271"/>
      <c r="Z14" s="271"/>
      <c r="AB14" s="203" t="str">
        <f t="shared" si="22"/>
        <v>04389C</v>
      </c>
      <c r="AC14" s="203" t="str">
        <f t="shared" si="1"/>
        <v>CFF 2</v>
      </c>
      <c r="AD14" s="203" t="str">
        <f t="shared" si="23"/>
        <v>Fire Inspector 2</v>
      </c>
      <c r="AE14" s="255">
        <f t="shared" ca="1" si="24"/>
        <v>33.951999999999998</v>
      </c>
      <c r="AF14" s="255">
        <f t="shared" ca="1" si="25"/>
        <v>35.284999999999997</v>
      </c>
      <c r="AG14" s="255">
        <f t="shared" ca="1" si="26"/>
        <v>37.429000000000002</v>
      </c>
      <c r="AH14" s="203"/>
      <c r="AI14" s="203"/>
      <c r="AJ14" s="203"/>
    </row>
    <row r="15" spans="1:36" ht="18.75" customHeight="1">
      <c r="A15" s="218" t="s">
        <v>29</v>
      </c>
      <c r="B15" s="64" t="s">
        <v>115</v>
      </c>
      <c r="C15" s="211" t="str">
        <f t="shared" si="2"/>
        <v>CFF 3</v>
      </c>
      <c r="D15" s="60" t="s">
        <v>30</v>
      </c>
      <c r="E15" s="60"/>
      <c r="F15" s="307" t="s">
        <v>17</v>
      </c>
      <c r="G15" s="309">
        <f t="shared" ca="1" si="19"/>
        <v>4202.5732975801557</v>
      </c>
      <c r="H15" s="226">
        <f t="shared" ca="1" si="20"/>
        <v>4369.2294901430159</v>
      </c>
      <c r="I15" s="226">
        <f t="shared" ca="1" si="21"/>
        <v>4636.5950996840456</v>
      </c>
      <c r="J15" s="226"/>
      <c r="K15" s="226"/>
      <c r="L15" s="227"/>
      <c r="M15" s="165"/>
      <c r="N15" s="42"/>
      <c r="O15" s="268">
        <v>109.2</v>
      </c>
      <c r="P15" s="270" t="s">
        <v>144</v>
      </c>
      <c r="Q15" s="270" t="s">
        <v>152</v>
      </c>
      <c r="R15" s="270" t="s">
        <v>287</v>
      </c>
      <c r="S15" s="270" t="str">
        <f t="shared" si="0"/>
        <v>04370C</v>
      </c>
      <c r="T15" s="268" t="s">
        <v>30</v>
      </c>
      <c r="U15" s="271" cm="1">
        <f t="array" aca="1" ref="U15" ca="1">IF($R15="Y",VLOOKUP($S15,INDIRECT($P$1),U$2,0)*INDIRECT($Q$1),VLOOKUP($S15,INDIRECT($P$1),U$2,0))</f>
        <v>38.485103457693732</v>
      </c>
      <c r="V15" s="271" cm="1">
        <f t="array" aca="1" ref="V15" ca="1">IF($R15="Y",VLOOKUP($S15,INDIRECT($P$1),V$2,0)*INDIRECT($Q$1),VLOOKUP($S15,INDIRECT($P$1),V$2,0))</f>
        <v>40.011259067243735</v>
      </c>
      <c r="W15" s="271" cm="1">
        <f t="array" aca="1" ref="W15" ca="1">IF($R15="Y",VLOOKUP($S15,INDIRECT($P$1),W$2,0)*INDIRECT($Q$1),VLOOKUP($S15,INDIRECT($P$1),W$2,0))</f>
        <v>42.459662085018728</v>
      </c>
      <c r="X15" s="271"/>
      <c r="Y15" s="271"/>
      <c r="Z15" s="271"/>
      <c r="AB15" s="203" t="str">
        <f t="shared" si="22"/>
        <v>04370C</v>
      </c>
      <c r="AC15" s="203" t="str">
        <f t="shared" si="1"/>
        <v>CFF 3</v>
      </c>
      <c r="AD15" s="203" t="str">
        <f t="shared" si="23"/>
        <v>Fire Captain</v>
      </c>
      <c r="AE15" s="255">
        <f t="shared" ca="1" si="24"/>
        <v>38.484999999999999</v>
      </c>
      <c r="AF15" s="255">
        <f t="shared" ca="1" si="25"/>
        <v>40.011000000000003</v>
      </c>
      <c r="AG15" s="255">
        <f t="shared" ca="1" si="26"/>
        <v>42.46</v>
      </c>
      <c r="AH15" s="203"/>
      <c r="AI15" s="203"/>
      <c r="AJ15" s="203"/>
    </row>
    <row r="16" spans="1:36" ht="18.75" customHeight="1">
      <c r="A16" s="218" t="s">
        <v>31</v>
      </c>
      <c r="B16" s="64" t="s">
        <v>115</v>
      </c>
      <c r="C16" s="211" t="str">
        <f t="shared" si="2"/>
        <v>CFG 3</v>
      </c>
      <c r="D16" s="60" t="s">
        <v>32</v>
      </c>
      <c r="E16" s="60"/>
      <c r="F16" s="307" t="s">
        <v>17</v>
      </c>
      <c r="G16" s="309">
        <f t="shared" ca="1" si="19"/>
        <v>4202.5456769724988</v>
      </c>
      <c r="H16" s="226">
        <f t="shared" ca="1" si="20"/>
        <v>4369.2056147024978</v>
      </c>
      <c r="I16" s="226">
        <f t="shared" ca="1" si="21"/>
        <v>4636.6105484984982</v>
      </c>
      <c r="J16" s="226"/>
      <c r="K16" s="226"/>
      <c r="L16" s="227"/>
      <c r="M16" s="165"/>
      <c r="N16" s="42"/>
      <c r="O16" s="268">
        <v>80</v>
      </c>
      <c r="P16" s="270" t="s">
        <v>143</v>
      </c>
      <c r="Q16" s="270" t="s">
        <v>153</v>
      </c>
      <c r="R16" s="270" t="s">
        <v>287</v>
      </c>
      <c r="S16" s="270" t="str">
        <f t="shared" si="0"/>
        <v>04371C</v>
      </c>
      <c r="T16" s="268" t="s">
        <v>32</v>
      </c>
      <c r="U16" s="271" cm="1">
        <f t="array" aca="1" ref="U16" ca="1">IF($R16="Y",VLOOKUP($S16,INDIRECT($P$1),U$2,0)*INDIRECT($Q$1),VLOOKUP($S16,INDIRECT($P$1),U$2,0))</f>
        <v>52.531820962156232</v>
      </c>
      <c r="V16" s="271" cm="1">
        <f t="array" aca="1" ref="V16" ca="1">IF($R16="Y",VLOOKUP($S16,INDIRECT($P$1),V$2,0)*INDIRECT($Q$1),VLOOKUP($S16,INDIRECT($P$1),V$2,0))</f>
        <v>54.615070183781221</v>
      </c>
      <c r="W16" s="271" cm="1">
        <f t="array" aca="1" ref="W16" ca="1">IF($R16="Y",VLOOKUP($S16,INDIRECT($P$1),W$2,0)*INDIRECT($Q$1),VLOOKUP($S16,INDIRECT($P$1),W$2,0))</f>
        <v>57.957631856231231</v>
      </c>
      <c r="X16" s="271"/>
      <c r="Y16" s="271"/>
      <c r="Z16" s="271"/>
      <c r="AB16" s="203" t="str">
        <f t="shared" si="22"/>
        <v>04371C</v>
      </c>
      <c r="AC16" s="203" t="str">
        <f t="shared" si="1"/>
        <v>CFG 3</v>
      </c>
      <c r="AD16" s="203" t="str">
        <f t="shared" si="23"/>
        <v>Fire Captain (40 hrs.)</v>
      </c>
      <c r="AE16" s="255">
        <f t="shared" ca="1" si="24"/>
        <v>52.531999999999996</v>
      </c>
      <c r="AF16" s="255">
        <f t="shared" ca="1" si="25"/>
        <v>54.615000000000002</v>
      </c>
      <c r="AG16" s="255">
        <f t="shared" ca="1" si="26"/>
        <v>57.957999999999998</v>
      </c>
      <c r="AH16" s="203"/>
      <c r="AI16" s="203"/>
      <c r="AJ16" s="203"/>
    </row>
    <row r="17" spans="1:36" ht="18.75" customHeight="1">
      <c r="A17" s="218" t="s">
        <v>33</v>
      </c>
      <c r="B17" s="64" t="s">
        <v>115</v>
      </c>
      <c r="C17" s="211" t="str">
        <f t="shared" si="2"/>
        <v>CFF 3</v>
      </c>
      <c r="D17" s="60" t="s">
        <v>34</v>
      </c>
      <c r="E17" s="60"/>
      <c r="F17" s="307" t="s">
        <v>17</v>
      </c>
      <c r="G17" s="309">
        <f t="shared" ca="1" si="19"/>
        <v>4202.5732975801557</v>
      </c>
      <c r="H17" s="226">
        <f t="shared" ca="1" si="20"/>
        <v>4369.2294901430159</v>
      </c>
      <c r="I17" s="226">
        <f t="shared" ca="1" si="21"/>
        <v>4636.5950996840456</v>
      </c>
      <c r="J17" s="226"/>
      <c r="K17" s="226"/>
      <c r="L17" s="227"/>
      <c r="M17" s="165"/>
      <c r="N17" s="42"/>
      <c r="O17" s="268">
        <v>109.2</v>
      </c>
      <c r="P17" s="270" t="s">
        <v>144</v>
      </c>
      <c r="Q17" s="270" t="s">
        <v>152</v>
      </c>
      <c r="R17" s="270" t="s">
        <v>287</v>
      </c>
      <c r="S17" s="270" t="str">
        <f t="shared" si="0"/>
        <v>04400C</v>
      </c>
      <c r="T17" s="268" t="s">
        <v>34</v>
      </c>
      <c r="U17" s="271" cm="1">
        <f t="array" aca="1" ref="U17" ca="1">IF($R17="Y",VLOOKUP($S17,INDIRECT($P$1),U$2,0)*INDIRECT($Q$1),VLOOKUP($S17,INDIRECT($P$1),U$2,0))</f>
        <v>38.485103457693732</v>
      </c>
      <c r="V17" s="271" cm="1">
        <f t="array" aca="1" ref="V17" ca="1">IF($R17="Y",VLOOKUP($S17,INDIRECT($P$1),V$2,0)*INDIRECT($Q$1),VLOOKUP($S17,INDIRECT($P$1),V$2,0))</f>
        <v>40.011259067243735</v>
      </c>
      <c r="W17" s="271" cm="1">
        <f t="array" aca="1" ref="W17" ca="1">IF($R17="Y",VLOOKUP($S17,INDIRECT($P$1),W$2,0)*INDIRECT($Q$1),VLOOKUP($S17,INDIRECT($P$1),W$2,0))</f>
        <v>42.459662085018728</v>
      </c>
      <c r="X17" s="271"/>
      <c r="Y17" s="271"/>
      <c r="Z17" s="271"/>
      <c r="AB17" s="203" t="str">
        <f t="shared" si="22"/>
        <v>04400C</v>
      </c>
      <c r="AC17" s="203" t="str">
        <f t="shared" si="1"/>
        <v>CFF 3</v>
      </c>
      <c r="AD17" s="203" t="str">
        <f t="shared" si="23"/>
        <v>Fire Investigator</v>
      </c>
      <c r="AE17" s="255">
        <f t="shared" ca="1" si="24"/>
        <v>38.484999999999999</v>
      </c>
      <c r="AF17" s="255">
        <f t="shared" ca="1" si="25"/>
        <v>40.011000000000003</v>
      </c>
      <c r="AG17" s="255">
        <f t="shared" ca="1" si="26"/>
        <v>42.46</v>
      </c>
      <c r="AH17" s="203"/>
      <c r="AI17" s="203"/>
      <c r="AJ17" s="203"/>
    </row>
    <row r="18" spans="1:36" ht="18.75" customHeight="1">
      <c r="A18" s="218" t="s">
        <v>35</v>
      </c>
      <c r="B18" s="64" t="s">
        <v>115</v>
      </c>
      <c r="C18" s="211" t="str">
        <f t="shared" si="2"/>
        <v>CFG 3</v>
      </c>
      <c r="D18" s="60" t="s">
        <v>36</v>
      </c>
      <c r="E18" s="60"/>
      <c r="F18" s="307" t="s">
        <v>17</v>
      </c>
      <c r="G18" s="309">
        <f t="shared" ca="1" si="19"/>
        <v>4202.5456769724988</v>
      </c>
      <c r="H18" s="226">
        <f t="shared" ca="1" si="20"/>
        <v>4369.2056147024978</v>
      </c>
      <c r="I18" s="226">
        <f t="shared" ca="1" si="21"/>
        <v>4636.6105484984982</v>
      </c>
      <c r="J18" s="226"/>
      <c r="K18" s="226"/>
      <c r="L18" s="227"/>
      <c r="M18" s="165"/>
      <c r="N18" s="42"/>
      <c r="O18" s="268">
        <v>80</v>
      </c>
      <c r="P18" s="270" t="s">
        <v>143</v>
      </c>
      <c r="Q18" s="270" t="s">
        <v>153</v>
      </c>
      <c r="R18" s="270" t="s">
        <v>287</v>
      </c>
      <c r="S18" s="270" t="str">
        <f t="shared" si="0"/>
        <v>04401C</v>
      </c>
      <c r="T18" s="268" t="s">
        <v>36</v>
      </c>
      <c r="U18" s="271" cm="1">
        <f t="array" aca="1" ref="U18" ca="1">IF($R18="Y",VLOOKUP($S18,INDIRECT($P$1),U$2,0)*INDIRECT($Q$1),VLOOKUP($S18,INDIRECT($P$1),U$2,0))</f>
        <v>52.531820962156232</v>
      </c>
      <c r="V18" s="271" cm="1">
        <f t="array" aca="1" ref="V18" ca="1">IF($R18="Y",VLOOKUP($S18,INDIRECT($P$1),V$2,0)*INDIRECT($Q$1),VLOOKUP($S18,INDIRECT($P$1),V$2,0))</f>
        <v>54.615070183781221</v>
      </c>
      <c r="W18" s="271" cm="1">
        <f t="array" aca="1" ref="W18" ca="1">IF($R18="Y",VLOOKUP($S18,INDIRECT($P$1),W$2,0)*INDIRECT($Q$1),VLOOKUP($S18,INDIRECT($P$1),W$2,0))</f>
        <v>57.957631856231231</v>
      </c>
      <c r="X18" s="271"/>
      <c r="Y18" s="271"/>
      <c r="Z18" s="271"/>
      <c r="AB18" s="203" t="str">
        <f t="shared" si="22"/>
        <v>04401C</v>
      </c>
      <c r="AC18" s="203" t="str">
        <f t="shared" si="1"/>
        <v>CFG 3</v>
      </c>
      <c r="AD18" s="203" t="str">
        <f t="shared" si="23"/>
        <v>Fire Investigator (40 hrs.)</v>
      </c>
      <c r="AE18" s="255">
        <f t="shared" ca="1" si="24"/>
        <v>52.531999999999996</v>
      </c>
      <c r="AF18" s="255">
        <f t="shared" ca="1" si="25"/>
        <v>54.615000000000002</v>
      </c>
      <c r="AG18" s="255">
        <f t="shared" ca="1" si="26"/>
        <v>57.957999999999998</v>
      </c>
      <c r="AH18" s="203"/>
      <c r="AI18" s="203"/>
      <c r="AJ18" s="203"/>
    </row>
    <row r="19" spans="1:36" ht="18.75" customHeight="1">
      <c r="A19" s="218" t="s">
        <v>37</v>
      </c>
      <c r="B19" s="64" t="s">
        <v>115</v>
      </c>
      <c r="C19" s="211" t="str">
        <f t="shared" si="2"/>
        <v>CFF 3</v>
      </c>
      <c r="D19" s="60" t="s">
        <v>38</v>
      </c>
      <c r="E19" s="60"/>
      <c r="F19" s="307" t="s">
        <v>17</v>
      </c>
      <c r="G19" s="309">
        <f t="shared" ca="1" si="19"/>
        <v>4202.5732975801557</v>
      </c>
      <c r="H19" s="226">
        <f t="shared" ca="1" si="20"/>
        <v>4369.2294901430159</v>
      </c>
      <c r="I19" s="226">
        <f t="shared" ca="1" si="21"/>
        <v>4636.5950996840456</v>
      </c>
      <c r="J19" s="226"/>
      <c r="K19" s="226"/>
      <c r="L19" s="227"/>
      <c r="M19" s="165"/>
      <c r="N19" s="42"/>
      <c r="O19" s="268">
        <v>109.2</v>
      </c>
      <c r="P19" s="270" t="s">
        <v>144</v>
      </c>
      <c r="Q19" s="270" t="s">
        <v>152</v>
      </c>
      <c r="R19" s="270" t="s">
        <v>287</v>
      </c>
      <c r="S19" s="270" t="str">
        <f t="shared" si="0"/>
        <v>04390C</v>
      </c>
      <c r="T19" s="268" t="s">
        <v>38</v>
      </c>
      <c r="U19" s="271" cm="1">
        <f t="array" aca="1" ref="U19" ca="1">IF($R19="Y",VLOOKUP($S19,INDIRECT($P$1),U$2,0)*INDIRECT($Q$1),VLOOKUP($S19,INDIRECT($P$1),U$2,0))</f>
        <v>38.485103457693732</v>
      </c>
      <c r="V19" s="271" cm="1">
        <f t="array" aca="1" ref="V19" ca="1">IF($R19="Y",VLOOKUP($S19,INDIRECT($P$1),V$2,0)*INDIRECT($Q$1),VLOOKUP($S19,INDIRECT($P$1),V$2,0))</f>
        <v>40.011259067243735</v>
      </c>
      <c r="W19" s="271" cm="1">
        <f t="array" aca="1" ref="W19" ca="1">IF($R19="Y",VLOOKUP($S19,INDIRECT($P$1),W$2,0)*INDIRECT($Q$1),VLOOKUP($S19,INDIRECT($P$1),W$2,0))</f>
        <v>42.459662085018728</v>
      </c>
      <c r="X19" s="271"/>
      <c r="Y19" s="271"/>
      <c r="Z19" s="271"/>
      <c r="AB19" s="203" t="str">
        <f t="shared" si="22"/>
        <v>04390C</v>
      </c>
      <c r="AC19" s="203" t="str">
        <f t="shared" si="1"/>
        <v>CFF 3</v>
      </c>
      <c r="AD19" s="203" t="str">
        <f t="shared" si="23"/>
        <v>Fire Inspector 3</v>
      </c>
      <c r="AE19" s="255">
        <f t="shared" ca="1" si="24"/>
        <v>38.484999999999999</v>
      </c>
      <c r="AF19" s="255">
        <f t="shared" ca="1" si="25"/>
        <v>40.011000000000003</v>
      </c>
      <c r="AG19" s="255">
        <f t="shared" ca="1" si="26"/>
        <v>42.46</v>
      </c>
      <c r="AH19" s="203"/>
      <c r="AI19" s="203"/>
      <c r="AJ19" s="203"/>
    </row>
    <row r="20" spans="1:36" ht="18.75" customHeight="1">
      <c r="A20" s="218" t="s">
        <v>41</v>
      </c>
      <c r="B20" s="64" t="s">
        <v>115</v>
      </c>
      <c r="C20" s="211" t="str">
        <f t="shared" si="2"/>
        <v>CFF 4</v>
      </c>
      <c r="D20" s="66" t="s">
        <v>113</v>
      </c>
      <c r="E20" s="60"/>
      <c r="F20" s="307" t="s">
        <v>17</v>
      </c>
      <c r="G20" s="309">
        <f t="shared" ca="1" si="19"/>
        <v>4301.2378532998864</v>
      </c>
      <c r="H20" s="226">
        <f t="shared" ca="1" si="20"/>
        <v>4374.0860356318108</v>
      </c>
      <c r="I20" s="226">
        <f t="shared" ca="1" si="21"/>
        <v>4448.4678639075655</v>
      </c>
      <c r="J20" s="226">
        <f t="shared" ref="J20:J21" ca="1" si="27">X20*$O20</f>
        <v>4522.8496921833203</v>
      </c>
      <c r="K20" s="226">
        <f t="shared" ref="K20:K21" ca="1" si="28">Y20*$O20</f>
        <v>4798.7781582440675</v>
      </c>
      <c r="L20" s="227"/>
      <c r="M20" s="165"/>
      <c r="N20" s="42"/>
      <c r="O20" s="268">
        <v>109.2</v>
      </c>
      <c r="P20" s="270" t="s">
        <v>144</v>
      </c>
      <c r="Q20" s="270" t="s">
        <v>154</v>
      </c>
      <c r="R20" s="270" t="s">
        <v>287</v>
      </c>
      <c r="S20" s="270" t="str">
        <f t="shared" si="0"/>
        <v>04436C</v>
      </c>
      <c r="T20" s="272" t="s">
        <v>113</v>
      </c>
      <c r="U20" s="271" cm="1">
        <f t="array" aca="1" ref="U20" ca="1">IF($R20="Y",VLOOKUP($S20,INDIRECT($P$1),U$2,0)*INDIRECT($Q$1),VLOOKUP($S20,INDIRECT($P$1),U$2,0))</f>
        <v>39.388625030218741</v>
      </c>
      <c r="V20" s="271" cm="1">
        <f t="array" aca="1" ref="V20" ca="1">IF($R20="Y",VLOOKUP($S20,INDIRECT($P$1),V$2,0)*INDIRECT($Q$1),VLOOKUP($S20,INDIRECT($P$1),V$2,0))</f>
        <v>40.055732927031229</v>
      </c>
      <c r="W20" s="271" cm="1">
        <f t="array" aca="1" ref="W20" ca="1">IF($R20="Y",VLOOKUP($S20,INDIRECT($P$1),W$2,0)*INDIRECT($Q$1),VLOOKUP($S20,INDIRECT($P$1),W$2,0))</f>
        <v>40.73688520061873</v>
      </c>
      <c r="X20" s="271" cm="1">
        <f t="array" aca="1" ref="X20" ca="1">IF($R20="Y",VLOOKUP($S20,INDIRECT($P$1),X$2,0)*INDIRECT($Q$1),VLOOKUP($S20,INDIRECT($P$1),X$2,0))</f>
        <v>41.41803747420623</v>
      </c>
      <c r="Y20" s="271" cm="1">
        <f t="array" aca="1" ref="Y20" ca="1">IF($R20="Y",VLOOKUP($S20,INDIRECT($P$1),Y$2,0)*INDIRECT($Q$1),VLOOKUP($S20,INDIRECT($P$1),Y$2,0))</f>
        <v>43.944854928974976</v>
      </c>
      <c r="Z20" s="271"/>
      <c r="AB20" s="203" t="str">
        <f t="shared" si="22"/>
        <v>04436C</v>
      </c>
      <c r="AC20" s="203" t="str">
        <f t="shared" si="1"/>
        <v>CFF 4</v>
      </c>
      <c r="AD20" s="203" t="str">
        <f t="shared" si="23"/>
        <v xml:space="preserve">Fire Staff Captain </v>
      </c>
      <c r="AE20" s="255">
        <f t="shared" ca="1" si="24"/>
        <v>39.389000000000003</v>
      </c>
      <c r="AF20" s="255">
        <f t="shared" ca="1" si="25"/>
        <v>40.055999999999997</v>
      </c>
      <c r="AG20" s="255">
        <f t="shared" ca="1" si="26"/>
        <v>40.737000000000002</v>
      </c>
      <c r="AH20" s="255">
        <f t="shared" ref="AH20:AH22" ca="1" si="29">ROUND(X20,3)</f>
        <v>41.417999999999999</v>
      </c>
      <c r="AI20" s="203"/>
      <c r="AJ20" s="203"/>
    </row>
    <row r="21" spans="1:36" ht="18.75" customHeight="1" thickBot="1">
      <c r="A21" s="219" t="s">
        <v>39</v>
      </c>
      <c r="B21" s="220" t="s">
        <v>115</v>
      </c>
      <c r="C21" s="220" t="str">
        <f t="shared" si="2"/>
        <v>CFG 4</v>
      </c>
      <c r="D21" s="221" t="s">
        <v>42</v>
      </c>
      <c r="E21" s="222"/>
      <c r="F21" s="308" t="s">
        <v>17</v>
      </c>
      <c r="G21" s="310">
        <f t="shared" ca="1" si="19"/>
        <v>4301.2308311114984</v>
      </c>
      <c r="H21" s="228">
        <f t="shared" ca="1" si="20"/>
        <v>4374.0743319844987</v>
      </c>
      <c r="I21" s="228">
        <f t="shared" ca="1" si="21"/>
        <v>4448.5095288919983</v>
      </c>
      <c r="J21" s="228">
        <f t="shared" ca="1" si="27"/>
        <v>4522.8510966209979</v>
      </c>
      <c r="K21" s="228">
        <f t="shared" ca="1" si="28"/>
        <v>4798.7762856604977</v>
      </c>
      <c r="L21" s="229"/>
      <c r="M21" s="165"/>
      <c r="N21" s="42"/>
      <c r="O21" s="268">
        <v>80</v>
      </c>
      <c r="P21" s="270" t="s">
        <v>143</v>
      </c>
      <c r="Q21" s="270" t="s">
        <v>155</v>
      </c>
      <c r="R21" s="270" t="s">
        <v>287</v>
      </c>
      <c r="S21" s="270" t="str">
        <f t="shared" si="0"/>
        <v>04435C</v>
      </c>
      <c r="T21" s="268" t="s">
        <v>42</v>
      </c>
      <c r="U21" s="271" cm="1">
        <f t="array" aca="1" ref="U21" ca="1">IF($R21="Y",VLOOKUP($S21,INDIRECT($P$1),U$2,0)*INDIRECT($Q$1),VLOOKUP($S21,INDIRECT($P$1),U$2,0))</f>
        <v>53.765385388893733</v>
      </c>
      <c r="V21" s="271" cm="1">
        <f t="array" aca="1" ref="V21" ca="1">IF($R21="Y",VLOOKUP($S21,INDIRECT($P$1),V$2,0)*INDIRECT($Q$1),VLOOKUP($S21,INDIRECT($P$1),V$2,0))</f>
        <v>54.67592914980623</v>
      </c>
      <c r="W21" s="271" cm="1">
        <f t="array" aca="1" ref="W21" ca="1">IF($R21="Y",VLOOKUP($S21,INDIRECT($P$1),W$2,0)*INDIRECT($Q$1),VLOOKUP($S21,INDIRECT($P$1),W$2,0))</f>
        <v>55.606369111149974</v>
      </c>
      <c r="X21" s="271" cm="1">
        <f t="array" aca="1" ref="X21" ca="1">IF($R21="Y",VLOOKUP($S21,INDIRECT($P$1),X$2,0)*INDIRECT($Q$1),VLOOKUP($S21,INDIRECT($P$1),X$2,0))</f>
        <v>56.535638707762473</v>
      </c>
      <c r="Y21" s="271" cm="1">
        <f t="array" aca="1" ref="Y21" ca="1">IF($R21="Y",VLOOKUP($S21,INDIRECT($P$1),Y$2,0)*INDIRECT($Q$1),VLOOKUP($S21,INDIRECT($P$1),Y$2,0))</f>
        <v>59.984703570756224</v>
      </c>
      <c r="Z21" s="271"/>
      <c r="AB21" s="203" t="str">
        <f t="shared" si="22"/>
        <v>04435C</v>
      </c>
      <c r="AC21" s="203" t="str">
        <f t="shared" si="1"/>
        <v>CFG 4</v>
      </c>
      <c r="AD21" s="203" t="str">
        <f t="shared" si="23"/>
        <v>Fire Staff Captain (40 hrs.)</v>
      </c>
      <c r="AE21" s="255">
        <f t="shared" ca="1" si="24"/>
        <v>53.765000000000001</v>
      </c>
      <c r="AF21" s="255">
        <f t="shared" ca="1" si="25"/>
        <v>54.676000000000002</v>
      </c>
      <c r="AG21" s="255">
        <f t="shared" ca="1" si="26"/>
        <v>55.606000000000002</v>
      </c>
      <c r="AH21" s="255">
        <f t="shared" ca="1" si="29"/>
        <v>56.536000000000001</v>
      </c>
      <c r="AI21" s="203"/>
      <c r="AJ21" s="203"/>
    </row>
    <row r="22" spans="1:36" ht="18.75" customHeight="1">
      <c r="A22"/>
      <c r="B22"/>
      <c r="C22"/>
      <c r="D22"/>
      <c r="E22"/>
      <c r="F22"/>
      <c r="G22"/>
      <c r="H22"/>
      <c r="I22"/>
      <c r="J22"/>
      <c r="K22"/>
      <c r="L22"/>
      <c r="M22" s="165"/>
      <c r="N22" s="42"/>
      <c r="O22" s="268">
        <v>109.2</v>
      </c>
      <c r="P22" s="270" t="s">
        <v>284</v>
      </c>
      <c r="Q22" s="270" t="s">
        <v>235</v>
      </c>
      <c r="R22" s="270" t="s">
        <v>287</v>
      </c>
      <c r="S22" s="270" t="s">
        <v>280</v>
      </c>
      <c r="T22" s="268" t="s">
        <v>298</v>
      </c>
      <c r="U22" s="271" cm="1">
        <f t="array" aca="1" ref="U22" ca="1">IF($R22="Y",VLOOKUP($S22,INDIRECT($P$1),U$2,0)*INDIRECT($Q$1),VLOOKUP($S22,INDIRECT($P$1),U$2,0))</f>
        <v>27.388875440712493</v>
      </c>
      <c r="V22" s="271" cm="1">
        <f t="array" aca="1" ref="V22" ca="1">IF($R22="Y",VLOOKUP($S22,INDIRECT($P$1),V$2,0)*INDIRECT($Q$1),VLOOKUP($S22,INDIRECT($P$1),V$2,0))</f>
        <v>28.484336829162491</v>
      </c>
      <c r="W22" s="271" cm="1">
        <f t="array" aca="1" ref="W22" ca="1">IF($R22="Y",VLOOKUP($S22,INDIRECT($P$1),W$2,0)*INDIRECT($Q$1),VLOOKUP($S22,INDIRECT($P$1),W$2,0))</f>
        <v>29.62427207739999</v>
      </c>
      <c r="X22" s="271" cm="1">
        <f t="array" aca="1" ref="X22" ca="1">IF($R22="Y",VLOOKUP($S22,INDIRECT($P$1),X$2,0)*INDIRECT($Q$1),VLOOKUP($S22,INDIRECT($P$1),X$2,0))</f>
        <v>30.808681185424991</v>
      </c>
      <c r="Y22" s="271" cm="1">
        <f t="array" aca="1" ref="Y22" ca="1">IF($R22="Y",VLOOKUP($S22,INDIRECT($P$1),Y$2,0)*INDIRECT($Q$1),VLOOKUP($S22,INDIRECT($P$1),Y$2,0))</f>
        <v>32.041075247431237</v>
      </c>
      <c r="Z22" s="271" cm="1">
        <f t="array" aca="1" ref="Z22" ca="1">IF($R22="Y",VLOOKUP($S22,INDIRECT($P$1),Z$2,0)*INDIRECT($Q$1),VLOOKUP($S22,INDIRECT($P$1),Z$2,0))</f>
        <v>33.322624628149988</v>
      </c>
      <c r="AB22" s="203" t="str">
        <f t="shared" si="22"/>
        <v>04452C</v>
      </c>
      <c r="AC22" s="203" t="str">
        <f>Q22</f>
        <v>CFH 1</v>
      </c>
      <c r="AD22" s="203" t="str">
        <f t="shared" si="23"/>
        <v>Firerighter Bell Curve-C*</v>
      </c>
      <c r="AE22" s="255">
        <f t="shared" ca="1" si="24"/>
        <v>27.388999999999999</v>
      </c>
      <c r="AF22" s="255">
        <f t="shared" ca="1" si="25"/>
        <v>28.484000000000002</v>
      </c>
      <c r="AG22" s="255">
        <f t="shared" ca="1" si="26"/>
        <v>29.623999999999999</v>
      </c>
      <c r="AH22" s="255">
        <f t="shared" ca="1" si="29"/>
        <v>30.809000000000001</v>
      </c>
      <c r="AI22" s="255">
        <f t="shared" ref="AI22" ca="1" si="30">ROUND(Y22,3)</f>
        <v>32.040999999999997</v>
      </c>
      <c r="AJ22" s="255">
        <f t="shared" ref="AJ22" ca="1" si="31">ROUND(Z22,3)</f>
        <v>33.323</v>
      </c>
    </row>
    <row r="23" spans="1:36" s="98" customFormat="1" ht="27.75" customHeight="1">
      <c r="A23" s="41" t="s">
        <v>303</v>
      </c>
      <c r="B23" s="42"/>
      <c r="C23" s="232"/>
      <c r="D23" s="42"/>
      <c r="E23" s="42"/>
      <c r="F23" s="42"/>
      <c r="G23" s="232"/>
      <c r="H23" s="232"/>
      <c r="I23" s="232"/>
      <c r="J23" s="232"/>
      <c r="K23" s="232"/>
      <c r="L23" s="232"/>
      <c r="M23" s="232"/>
      <c r="N23" s="157"/>
      <c r="O23" s="260"/>
      <c r="P23" s="261"/>
      <c r="Q23" s="261"/>
      <c r="R23" s="261"/>
      <c r="S23" s="264"/>
      <c r="T23" s="265" t="s">
        <v>299</v>
      </c>
      <c r="U23" s="261"/>
      <c r="V23" s="261"/>
      <c r="W23" s="261"/>
      <c r="X23" s="261"/>
      <c r="Y23" s="261"/>
      <c r="Z23" s="265"/>
      <c r="AB23" s="256"/>
      <c r="AC23" s="256"/>
      <c r="AD23" s="254" t="s">
        <v>299</v>
      </c>
      <c r="AE23" s="256"/>
      <c r="AF23" s="256"/>
      <c r="AG23" s="256"/>
      <c r="AH23" s="256"/>
      <c r="AI23" s="256"/>
      <c r="AJ23" s="256"/>
    </row>
    <row r="24" spans="1:36" s="98" customFormat="1" ht="17.25" customHeight="1">
      <c r="A24" s="50" t="s">
        <v>50</v>
      </c>
      <c r="B24" s="42"/>
      <c r="C24" s="232"/>
      <c r="D24" s="42"/>
      <c r="E24" s="42"/>
      <c r="F24" s="42"/>
      <c r="G24" s="232"/>
      <c r="H24" s="232"/>
      <c r="I24" s="232"/>
      <c r="J24" s="232"/>
      <c r="K24" s="232"/>
      <c r="L24" s="232"/>
      <c r="M24" s="232"/>
      <c r="N24" s="157"/>
      <c r="O24" s="260"/>
      <c r="P24" s="261"/>
      <c r="Q24" s="261"/>
      <c r="R24" s="261"/>
      <c r="S24" s="264"/>
      <c r="T24" s="261"/>
      <c r="U24" s="261"/>
      <c r="V24" s="261"/>
      <c r="W24" s="261"/>
      <c r="X24" s="261"/>
      <c r="Y24" s="261"/>
      <c r="Z24" s="265"/>
      <c r="AB24" s="256"/>
      <c r="AC24" s="256"/>
      <c r="AD24" s="256"/>
      <c r="AE24" s="256"/>
      <c r="AF24" s="256"/>
      <c r="AG24" s="256"/>
      <c r="AH24" s="256"/>
      <c r="AI24" s="256"/>
      <c r="AJ24" s="256"/>
    </row>
    <row r="25" spans="1:36" s="98" customFormat="1" ht="17.25" customHeight="1">
      <c r="A25" s="42" t="s">
        <v>51</v>
      </c>
      <c r="B25" s="42"/>
      <c r="C25" s="232"/>
      <c r="D25" s="42"/>
      <c r="E25" s="42"/>
      <c r="F25" s="42"/>
      <c r="G25" s="232"/>
      <c r="H25" s="232"/>
      <c r="I25" s="232"/>
      <c r="J25" s="232"/>
      <c r="K25" s="232"/>
      <c r="L25" s="232"/>
      <c r="M25" s="232"/>
      <c r="N25" s="157"/>
      <c r="O25" s="260"/>
      <c r="P25" s="261"/>
      <c r="Q25" s="261"/>
      <c r="R25" s="261"/>
      <c r="S25" s="264"/>
      <c r="T25" s="261"/>
      <c r="U25" s="261"/>
      <c r="V25" s="261"/>
      <c r="W25" s="261"/>
      <c r="X25" s="261"/>
      <c r="Y25" s="261"/>
      <c r="Z25" s="265"/>
      <c r="AB25" s="256"/>
      <c r="AC25" s="256"/>
      <c r="AD25" s="256"/>
      <c r="AE25" s="256"/>
      <c r="AF25" s="256"/>
      <c r="AG25" s="256"/>
      <c r="AH25" s="256"/>
      <c r="AI25" s="256"/>
      <c r="AJ25" s="256"/>
    </row>
    <row r="26" spans="1:36" s="98" customFormat="1" ht="17.25" customHeight="1">
      <c r="A26" s="50" t="s">
        <v>52</v>
      </c>
      <c r="B26" s="232"/>
      <c r="C26" s="23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157"/>
      <c r="O26" s="260"/>
      <c r="P26" s="261"/>
      <c r="Q26" s="261"/>
      <c r="R26" s="261"/>
      <c r="S26" s="264"/>
      <c r="T26" s="261"/>
      <c r="U26" s="261"/>
      <c r="V26" s="261"/>
      <c r="W26" s="261"/>
      <c r="X26" s="261"/>
      <c r="Y26" s="261"/>
      <c r="Z26" s="265"/>
      <c r="AB26" s="256"/>
      <c r="AC26" s="256"/>
      <c r="AD26" s="256"/>
      <c r="AE26" s="256"/>
      <c r="AF26" s="256"/>
      <c r="AG26" s="256"/>
      <c r="AH26" s="256"/>
      <c r="AI26" s="256"/>
      <c r="AJ26" s="256"/>
    </row>
    <row r="27" spans="1:36" s="98" customFormat="1" ht="17.25" customHeight="1">
      <c r="A27" s="50"/>
      <c r="B27" s="232"/>
      <c r="C27" s="23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157"/>
      <c r="O27" s="260"/>
      <c r="P27" s="260"/>
      <c r="Q27" s="260"/>
      <c r="R27" s="260"/>
      <c r="S27" s="273"/>
      <c r="T27" s="261"/>
      <c r="U27" s="347" t="s">
        <v>278</v>
      </c>
      <c r="V27" s="348"/>
      <c r="W27" s="260"/>
      <c r="X27" s="261"/>
      <c r="Y27" s="261"/>
      <c r="Z27" s="261"/>
      <c r="AB27" s="256"/>
      <c r="AC27" s="256"/>
      <c r="AD27" s="254"/>
      <c r="AE27" s="256"/>
      <c r="AF27" s="256"/>
      <c r="AG27" s="256"/>
      <c r="AH27" s="256"/>
      <c r="AI27" s="256"/>
      <c r="AJ27" s="256"/>
    </row>
    <row r="28" spans="1:36" ht="27.75" customHeight="1">
      <c r="A28" s="41" t="s">
        <v>136</v>
      </c>
      <c r="B28" s="42" t="s">
        <v>160</v>
      </c>
      <c r="P28" s="260"/>
      <c r="Q28" s="260"/>
      <c r="R28" s="324" t="s">
        <v>286</v>
      </c>
      <c r="S28" s="325" t="s">
        <v>297</v>
      </c>
      <c r="T28" s="320"/>
      <c r="U28" s="267" t="s">
        <v>230</v>
      </c>
      <c r="V28" s="267" t="s">
        <v>231</v>
      </c>
      <c r="W28" s="260"/>
      <c r="Z28" s="261"/>
      <c r="AA28" s="98"/>
      <c r="AB28" s="257" t="str">
        <f t="shared" ref="AB28" si="32">S28</f>
        <v>Description</v>
      </c>
      <c r="AC28" s="203"/>
      <c r="AD28" s="203"/>
      <c r="AE28" s="258" t="str">
        <f>U28</f>
        <v>CFF/109.2</v>
      </c>
      <c r="AF28" s="258" t="str">
        <f>V28</f>
        <v>CFG/80</v>
      </c>
    </row>
    <row r="29" spans="1:36" ht="17.25" customHeight="1">
      <c r="A29" s="56">
        <f t="shared" ref="A29:A47" ca="1" si="33">T29</f>
        <v>20.253157051068193</v>
      </c>
      <c r="B29" s="52" t="s">
        <v>161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60"/>
      <c r="P29" s="260"/>
      <c r="Q29" s="260"/>
      <c r="R29" s="270" t="s">
        <v>287</v>
      </c>
      <c r="S29" s="280" t="str">
        <f t="shared" ref="S29:S47" si="34">"Non FF "&amp;B29</f>
        <v>Non FF  7th year of service</v>
      </c>
      <c r="T29" s="321" cm="1">
        <f t="array" aca="1" ref="T29" ca="1">IF($R29="Y",VLOOKUP(S29,INDIRECT($P$1),2,0)*INDIRECT($Q$1),VLOOKUP(S29,INDIRECT($P$1),2,0))</f>
        <v>20.253157051068193</v>
      </c>
      <c r="U29" s="271">
        <f ca="1">T29/109.2</f>
        <v>0.18546847116362813</v>
      </c>
      <c r="V29" s="271">
        <f ca="1">T29/80</f>
        <v>0.25316446313835239</v>
      </c>
      <c r="W29" s="275"/>
      <c r="Z29" s="261"/>
      <c r="AA29" s="98"/>
      <c r="AB29" s="203" t="str">
        <f t="shared" ref="AB29" si="35">S29</f>
        <v>Non FF  7th year of service</v>
      </c>
      <c r="AC29" s="203"/>
      <c r="AD29" s="203"/>
      <c r="AE29" s="255">
        <f t="shared" ref="AE29" ca="1" si="36">ROUND(U29,3)</f>
        <v>0.185</v>
      </c>
      <c r="AF29" s="255">
        <f t="shared" ref="AF29" ca="1" si="37">ROUND(V29,3)</f>
        <v>0.253</v>
      </c>
    </row>
    <row r="30" spans="1:36" ht="17.25" customHeight="1">
      <c r="A30" s="56">
        <f t="shared" ca="1" si="33"/>
        <v>28.725065882887492</v>
      </c>
      <c r="B30" s="52" t="s">
        <v>162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60"/>
      <c r="P30" s="260"/>
      <c r="Q30" s="260"/>
      <c r="R30" s="270" t="s">
        <v>287</v>
      </c>
      <c r="S30" s="280" t="str">
        <f t="shared" si="34"/>
        <v>Non FF  8th year of service</v>
      </c>
      <c r="T30" s="321" cm="1">
        <f t="array" aca="1" ref="T30" ca="1">IF($R30="Y",VLOOKUP(S30,INDIRECT($P$1),2,0)*INDIRECT($Q$1),VLOOKUP(S30,INDIRECT($P$1),2,0))</f>
        <v>28.725065882887492</v>
      </c>
      <c r="U30" s="271">
        <f t="shared" ref="U30:U47" ca="1" si="38">T30/109.2</f>
        <v>0.26305005387259606</v>
      </c>
      <c r="V30" s="271">
        <f t="shared" ref="V30:V47" ca="1" si="39">T30/80</f>
        <v>0.35906332353609366</v>
      </c>
      <c r="W30" s="275"/>
      <c r="Y30" s="276"/>
      <c r="Z30" s="261"/>
      <c r="AA30" s="98"/>
      <c r="AB30" s="203" t="str">
        <f t="shared" ref="AB30:AB69" si="40">S30</f>
        <v>Non FF  8th year of service</v>
      </c>
      <c r="AC30" s="203"/>
      <c r="AD30" s="203"/>
      <c r="AE30" s="255">
        <f t="shared" ref="AE30:AE69" ca="1" si="41">ROUND(U30,3)</f>
        <v>0.26300000000000001</v>
      </c>
      <c r="AF30" s="255">
        <f t="shared" ref="AF30:AF69" ca="1" si="42">ROUND(V30,3)</f>
        <v>0.35899999999999999</v>
      </c>
    </row>
    <row r="31" spans="1:36" ht="17.25" customHeight="1">
      <c r="A31" s="56">
        <f t="shared" ca="1" si="33"/>
        <v>37.196974714706904</v>
      </c>
      <c r="B31" s="52" t="s">
        <v>163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160"/>
      <c r="P31" s="260"/>
      <c r="Q31" s="260"/>
      <c r="R31" s="270" t="s">
        <v>287</v>
      </c>
      <c r="S31" s="280" t="str">
        <f t="shared" si="34"/>
        <v>Non FF  9th year of service</v>
      </c>
      <c r="T31" s="321" cm="1">
        <f t="array" aca="1" ref="T31" ca="1">IF($R31="Y",VLOOKUP(S31,INDIRECT($P$1),2,0)*INDIRECT($Q$1),VLOOKUP(S31,INDIRECT($P$1),2,0))</f>
        <v>37.196974714706904</v>
      </c>
      <c r="U31" s="271">
        <f t="shared" ca="1" si="38"/>
        <v>0.34063163658156503</v>
      </c>
      <c r="V31" s="271">
        <f t="shared" ca="1" si="39"/>
        <v>0.46496218393383631</v>
      </c>
      <c r="W31" s="275"/>
      <c r="Y31" s="276"/>
      <c r="Z31" s="261"/>
      <c r="AA31" s="98"/>
      <c r="AB31" s="203" t="str">
        <f t="shared" si="40"/>
        <v>Non FF  9th year of service</v>
      </c>
      <c r="AC31" s="203"/>
      <c r="AD31" s="203"/>
      <c r="AE31" s="255">
        <f t="shared" ca="1" si="41"/>
        <v>0.34100000000000003</v>
      </c>
      <c r="AF31" s="255">
        <f t="shared" ca="1" si="42"/>
        <v>0.46500000000000002</v>
      </c>
    </row>
    <row r="32" spans="1:36" ht="17.25" customHeight="1">
      <c r="A32" s="56">
        <f t="shared" ca="1" si="33"/>
        <v>45.668883546526324</v>
      </c>
      <c r="B32" s="52" t="s">
        <v>164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160"/>
      <c r="P32" s="260"/>
      <c r="Q32" s="260"/>
      <c r="R32" s="270" t="s">
        <v>287</v>
      </c>
      <c r="S32" s="280" t="str">
        <f t="shared" si="34"/>
        <v>Non FF  10th year of service</v>
      </c>
      <c r="T32" s="321" cm="1">
        <f t="array" aca="1" ref="T32" ca="1">IF($R32="Y",VLOOKUP(S32,INDIRECT($P$1),2,0)*INDIRECT($Q$1),VLOOKUP(S32,INDIRECT($P$1),2,0))</f>
        <v>45.668883546526324</v>
      </c>
      <c r="U32" s="271">
        <f t="shared" ca="1" si="38"/>
        <v>0.41821321929053407</v>
      </c>
      <c r="V32" s="271">
        <f t="shared" ca="1" si="39"/>
        <v>0.57086104433157903</v>
      </c>
      <c r="W32" s="275"/>
      <c r="Y32" s="276"/>
      <c r="Z32" s="261"/>
      <c r="AA32" s="98"/>
      <c r="AB32" s="203" t="str">
        <f t="shared" si="40"/>
        <v>Non FF  10th year of service</v>
      </c>
      <c r="AC32" s="203"/>
      <c r="AD32" s="203"/>
      <c r="AE32" s="255">
        <f t="shared" ca="1" si="41"/>
        <v>0.41799999999999998</v>
      </c>
      <c r="AF32" s="255">
        <f t="shared" ca="1" si="42"/>
        <v>0.57099999999999995</v>
      </c>
    </row>
    <row r="33" spans="1:32" ht="17.25" customHeight="1">
      <c r="A33" s="56">
        <f t="shared" ca="1" si="33"/>
        <v>54.140792378345637</v>
      </c>
      <c r="B33" s="52" t="s">
        <v>165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160"/>
      <c r="P33" s="260"/>
      <c r="Q33" s="260"/>
      <c r="R33" s="270" t="s">
        <v>287</v>
      </c>
      <c r="S33" s="280" t="str">
        <f t="shared" si="34"/>
        <v>Non FF  11th year of service</v>
      </c>
      <c r="T33" s="321" cm="1">
        <f t="array" aca="1" ref="T33" ca="1">IF($R33="Y",VLOOKUP(S33,INDIRECT($P$1),2,0)*INDIRECT($Q$1),VLOOKUP(S33,INDIRECT($P$1),2,0))</f>
        <v>54.140792378345637</v>
      </c>
      <c r="U33" s="271">
        <f t="shared" ca="1" si="38"/>
        <v>0.49579480199950215</v>
      </c>
      <c r="V33" s="271">
        <f t="shared" ca="1" si="39"/>
        <v>0.67675990472932046</v>
      </c>
      <c r="W33" s="275"/>
      <c r="Y33" s="276"/>
      <c r="Z33" s="261"/>
      <c r="AA33" s="98"/>
      <c r="AB33" s="203" t="str">
        <f t="shared" si="40"/>
        <v>Non FF  11th year of service</v>
      </c>
      <c r="AC33" s="203"/>
      <c r="AD33" s="203"/>
      <c r="AE33" s="255">
        <f t="shared" ca="1" si="41"/>
        <v>0.496</v>
      </c>
      <c r="AF33" s="255">
        <f t="shared" ca="1" si="42"/>
        <v>0.67700000000000005</v>
      </c>
    </row>
    <row r="34" spans="1:32" ht="17.25" customHeight="1">
      <c r="A34" s="56">
        <f t="shared" ca="1" si="33"/>
        <v>163.6302860114491</v>
      </c>
      <c r="B34" s="52" t="s">
        <v>166</v>
      </c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160"/>
      <c r="P34" s="260"/>
      <c r="Q34" s="260"/>
      <c r="R34" s="270" t="s">
        <v>287</v>
      </c>
      <c r="S34" s="280" t="str">
        <f t="shared" si="34"/>
        <v>Non FF  12th year of service</v>
      </c>
      <c r="T34" s="321" cm="1">
        <f t="array" aca="1" ref="T34" ca="1">IF($R34="Y",VLOOKUP(S34,INDIRECT($P$1),2,0)*INDIRECT($Q$1),VLOOKUP(S34,INDIRECT($P$1),2,0))</f>
        <v>163.6302860114491</v>
      </c>
      <c r="U34" s="271">
        <f t="shared" ca="1" si="38"/>
        <v>1.4984458425956877</v>
      </c>
      <c r="V34" s="271">
        <f t="shared" ca="1" si="39"/>
        <v>2.0453785751431139</v>
      </c>
      <c r="W34" s="275"/>
      <c r="Y34" s="276"/>
      <c r="Z34" s="261"/>
      <c r="AA34" s="98"/>
      <c r="AB34" s="203" t="str">
        <f t="shared" si="40"/>
        <v>Non FF  12th year of service</v>
      </c>
      <c r="AC34" s="203"/>
      <c r="AD34" s="203"/>
      <c r="AE34" s="255">
        <f t="shared" ca="1" si="41"/>
        <v>1.498</v>
      </c>
      <c r="AF34" s="255">
        <f t="shared" ca="1" si="42"/>
        <v>2.0449999999999999</v>
      </c>
    </row>
    <row r="35" spans="1:32" ht="17.25" customHeight="1">
      <c r="A35" s="56">
        <f t="shared" ca="1" si="33"/>
        <v>172.83024950850276</v>
      </c>
      <c r="B35" s="52" t="s">
        <v>167</v>
      </c>
      <c r="P35" s="260"/>
      <c r="Q35" s="260"/>
      <c r="R35" s="270" t="s">
        <v>287</v>
      </c>
      <c r="S35" s="280" t="str">
        <f t="shared" si="34"/>
        <v>Non FF  13th year of service</v>
      </c>
      <c r="T35" s="321" cm="1">
        <f t="array" aca="1" ref="T35" ca="1">IF($R35="Y",VLOOKUP(S35,INDIRECT($P$1),2,0)*INDIRECT($Q$1),VLOOKUP(S35,INDIRECT($P$1),2,0))</f>
        <v>172.83024950850276</v>
      </c>
      <c r="U35" s="271">
        <f t="shared" ca="1" si="38"/>
        <v>1.5826945925687066</v>
      </c>
      <c r="V35" s="271">
        <f t="shared" ca="1" si="39"/>
        <v>2.1603781188562845</v>
      </c>
      <c r="W35" s="275"/>
      <c r="Y35" s="276"/>
      <c r="Z35" s="261"/>
      <c r="AA35" s="98"/>
      <c r="AB35" s="203" t="str">
        <f t="shared" si="40"/>
        <v>Non FF  13th year of service</v>
      </c>
      <c r="AC35" s="203"/>
      <c r="AD35" s="203"/>
      <c r="AE35" s="255">
        <f t="shared" ca="1" si="41"/>
        <v>1.583</v>
      </c>
      <c r="AF35" s="255">
        <f t="shared" ca="1" si="42"/>
        <v>2.16</v>
      </c>
    </row>
    <row r="36" spans="1:32" ht="17.25" customHeight="1">
      <c r="A36" s="56">
        <f t="shared" ca="1" si="33"/>
        <v>182.01366630861907</v>
      </c>
      <c r="B36" s="52" t="s">
        <v>168</v>
      </c>
      <c r="P36" s="260"/>
      <c r="Q36" s="260"/>
      <c r="R36" s="270" t="s">
        <v>287</v>
      </c>
      <c r="S36" s="280" t="str">
        <f t="shared" si="34"/>
        <v>Non FF  14th year of service</v>
      </c>
      <c r="T36" s="321" cm="1">
        <f t="array" aca="1" ref="T36" ca="1">IF($R36="Y",VLOOKUP(S36,INDIRECT($P$1),2,0)*INDIRECT($Q$1),VLOOKUP(S36,INDIRECT($P$1),2,0))</f>
        <v>182.01366630861907</v>
      </c>
      <c r="U36" s="271">
        <f t="shared" ca="1" si="38"/>
        <v>1.6667918160129951</v>
      </c>
      <c r="V36" s="271">
        <f t="shared" ca="1" si="39"/>
        <v>2.2751708288577381</v>
      </c>
      <c r="W36" s="275"/>
      <c r="Y36" s="276"/>
      <c r="Z36" s="261"/>
      <c r="AA36" s="98"/>
      <c r="AB36" s="203" t="str">
        <f t="shared" si="40"/>
        <v>Non FF  14th year of service</v>
      </c>
      <c r="AC36" s="203"/>
      <c r="AD36" s="203"/>
      <c r="AE36" s="255">
        <f t="shared" ca="1" si="41"/>
        <v>1.667</v>
      </c>
      <c r="AF36" s="255">
        <f t="shared" ca="1" si="42"/>
        <v>2.2749999999999999</v>
      </c>
    </row>
    <row r="37" spans="1:32" ht="17.25" customHeight="1">
      <c r="A37" s="56">
        <f t="shared" ca="1" si="33"/>
        <v>238.07387553167385</v>
      </c>
      <c r="B37" s="52" t="s">
        <v>169</v>
      </c>
      <c r="P37" s="260"/>
      <c r="Q37" s="260"/>
      <c r="R37" s="270" t="s">
        <v>287</v>
      </c>
      <c r="S37" s="280" t="str">
        <f t="shared" si="34"/>
        <v>Non FF  15th year of service</v>
      </c>
      <c r="T37" s="321" cm="1">
        <f t="array" aca="1" ref="T37" ca="1">IF($R37="Y",VLOOKUP(S37,INDIRECT($P$1),2,0)*INDIRECT($Q$1),VLOOKUP(S37,INDIRECT($P$1),2,0))</f>
        <v>238.07387553167385</v>
      </c>
      <c r="U37" s="271">
        <f t="shared" ca="1" si="38"/>
        <v>2.1801636953449988</v>
      </c>
      <c r="V37" s="271">
        <f t="shared" ca="1" si="39"/>
        <v>2.975923444145923</v>
      </c>
      <c r="W37" s="275"/>
      <c r="Y37" s="276"/>
      <c r="Z37" s="261"/>
      <c r="AA37" s="98"/>
      <c r="AB37" s="203" t="str">
        <f t="shared" si="40"/>
        <v>Non FF  15th year of service</v>
      </c>
      <c r="AC37" s="203"/>
      <c r="AD37" s="203"/>
      <c r="AE37" s="255">
        <f t="shared" ca="1" si="41"/>
        <v>2.1800000000000002</v>
      </c>
      <c r="AF37" s="255">
        <f t="shared" ca="1" si="42"/>
        <v>2.976</v>
      </c>
    </row>
    <row r="38" spans="1:32" ht="17.25" customHeight="1">
      <c r="A38" s="56">
        <f t="shared" ca="1" si="33"/>
        <v>247.25729233179021</v>
      </c>
      <c r="B38" s="52" t="s">
        <v>170</v>
      </c>
      <c r="P38" s="260"/>
      <c r="Q38" s="260"/>
      <c r="R38" s="270" t="s">
        <v>287</v>
      </c>
      <c r="S38" s="280" t="str">
        <f t="shared" si="34"/>
        <v>Non FF  16th year of service</v>
      </c>
      <c r="T38" s="321" cm="1">
        <f t="array" aca="1" ref="T38" ca="1">IF($R38="Y",VLOOKUP(S38,INDIRECT($P$1),2,0)*INDIRECT($Q$1),VLOOKUP(S38,INDIRECT($P$1),2,0))</f>
        <v>247.25729233179021</v>
      </c>
      <c r="U38" s="271">
        <f t="shared" ca="1" si="38"/>
        <v>2.2642609187892875</v>
      </c>
      <c r="V38" s="271">
        <f t="shared" ca="1" si="39"/>
        <v>3.0907161541473775</v>
      </c>
      <c r="W38" s="275"/>
      <c r="Y38" s="276"/>
      <c r="Z38" s="261"/>
      <c r="AA38" s="98"/>
      <c r="AB38" s="203" t="str">
        <f t="shared" si="40"/>
        <v>Non FF  16th year of service</v>
      </c>
      <c r="AC38" s="203"/>
      <c r="AD38" s="203"/>
      <c r="AE38" s="255">
        <f t="shared" ca="1" si="41"/>
        <v>2.2639999999999998</v>
      </c>
      <c r="AF38" s="255">
        <f t="shared" ca="1" si="42"/>
        <v>3.0910000000000002</v>
      </c>
    </row>
    <row r="39" spans="1:32" ht="17.25" customHeight="1">
      <c r="A39" s="56">
        <f t="shared" ca="1" si="33"/>
        <v>256.45725582884393</v>
      </c>
      <c r="B39" s="52" t="s">
        <v>171</v>
      </c>
      <c r="P39" s="260"/>
      <c r="Q39" s="260"/>
      <c r="R39" s="270" t="s">
        <v>287</v>
      </c>
      <c r="S39" s="280" t="str">
        <f t="shared" si="34"/>
        <v>Non FF  17th year of service</v>
      </c>
      <c r="T39" s="321" cm="1">
        <f t="array" aca="1" ref="T39" ca="1">IF($R39="Y",VLOOKUP(S39,INDIRECT($P$1),2,0)*INDIRECT($Q$1),VLOOKUP(S39,INDIRECT($P$1),2,0))</f>
        <v>256.45725582884393</v>
      </c>
      <c r="U39" s="271">
        <f t="shared" ca="1" si="38"/>
        <v>2.3485096687623068</v>
      </c>
      <c r="V39" s="271">
        <f t="shared" ca="1" si="39"/>
        <v>3.205715697860549</v>
      </c>
      <c r="W39" s="275"/>
      <c r="Y39" s="276"/>
      <c r="Z39" s="261"/>
      <c r="AA39" s="98"/>
      <c r="AB39" s="203" t="str">
        <f t="shared" si="40"/>
        <v>Non FF  17th year of service</v>
      </c>
      <c r="AC39" s="203"/>
      <c r="AD39" s="203"/>
      <c r="AE39" s="255">
        <f t="shared" ca="1" si="41"/>
        <v>2.3490000000000002</v>
      </c>
      <c r="AF39" s="255">
        <f t="shared" ca="1" si="42"/>
        <v>3.206</v>
      </c>
    </row>
    <row r="40" spans="1:32" ht="17.25" customHeight="1">
      <c r="A40" s="56">
        <f t="shared" ca="1" si="33"/>
        <v>265.65721932589889</v>
      </c>
      <c r="B40" s="52" t="s">
        <v>172</v>
      </c>
      <c r="P40" s="260"/>
      <c r="Q40" s="260"/>
      <c r="R40" s="270" t="s">
        <v>287</v>
      </c>
      <c r="S40" s="280" t="str">
        <f t="shared" si="34"/>
        <v>Non FF  18th year of service</v>
      </c>
      <c r="T40" s="321" cm="1">
        <f t="array" aca="1" ref="T40" ca="1">IF($R40="Y",VLOOKUP(S40,INDIRECT($P$1),2,0)*INDIRECT($Q$1),VLOOKUP(S40,INDIRECT($P$1),2,0))</f>
        <v>265.65721932589889</v>
      </c>
      <c r="U40" s="271">
        <f t="shared" ca="1" si="38"/>
        <v>2.4327584187353377</v>
      </c>
      <c r="V40" s="271">
        <f t="shared" ca="1" si="39"/>
        <v>3.320715241573736</v>
      </c>
      <c r="W40" s="275"/>
      <c r="Y40" s="276"/>
      <c r="Z40" s="261"/>
      <c r="AA40" s="98"/>
      <c r="AB40" s="203" t="str">
        <f t="shared" si="40"/>
        <v>Non FF  18th year of service</v>
      </c>
      <c r="AC40" s="203"/>
      <c r="AD40" s="203"/>
      <c r="AE40" s="255">
        <f t="shared" ca="1" si="41"/>
        <v>2.4329999999999998</v>
      </c>
      <c r="AF40" s="255">
        <f t="shared" ca="1" si="42"/>
        <v>3.3210000000000002</v>
      </c>
    </row>
    <row r="41" spans="1:32" ht="17.25" customHeight="1">
      <c r="A41" s="56">
        <f t="shared" ca="1" si="33"/>
        <v>291.73481369884229</v>
      </c>
      <c r="B41" s="52" t="s">
        <v>173</v>
      </c>
      <c r="P41" s="260"/>
      <c r="Q41" s="260"/>
      <c r="R41" s="270" t="s">
        <v>287</v>
      </c>
      <c r="S41" s="280" t="str">
        <f t="shared" si="34"/>
        <v>Non FF  19th year of service</v>
      </c>
      <c r="T41" s="321" cm="1">
        <f t="array" aca="1" ref="T41" ca="1">IF($R41="Y",VLOOKUP(S41,INDIRECT($P$1),2,0)*INDIRECT($Q$1),VLOOKUP(S41,INDIRECT($P$1),2,0))</f>
        <v>291.73481369884229</v>
      </c>
      <c r="U41" s="271">
        <f t="shared" ca="1" si="38"/>
        <v>2.6715642280113761</v>
      </c>
      <c r="V41" s="271">
        <f t="shared" ca="1" si="39"/>
        <v>3.6466851712355286</v>
      </c>
      <c r="W41" s="275"/>
      <c r="Y41" s="276"/>
      <c r="Z41" s="261"/>
      <c r="AA41" s="98"/>
      <c r="AB41" s="203" t="str">
        <f t="shared" si="40"/>
        <v>Non FF  19th year of service</v>
      </c>
      <c r="AC41" s="203"/>
      <c r="AD41" s="203"/>
      <c r="AE41" s="255">
        <f t="shared" ca="1" si="41"/>
        <v>2.6720000000000002</v>
      </c>
      <c r="AF41" s="255">
        <f t="shared" ca="1" si="42"/>
        <v>3.6469999999999998</v>
      </c>
    </row>
    <row r="42" spans="1:32" ht="17.25" customHeight="1">
      <c r="A42" s="56">
        <f t="shared" ca="1" si="33"/>
        <v>366.52588385474735</v>
      </c>
      <c r="B42" s="52" t="s">
        <v>174</v>
      </c>
      <c r="P42" s="260"/>
      <c r="Q42" s="260"/>
      <c r="R42" s="270" t="s">
        <v>287</v>
      </c>
      <c r="S42" s="280" t="str">
        <f t="shared" si="34"/>
        <v>Non FF  20th year of service</v>
      </c>
      <c r="T42" s="321" cm="1">
        <f t="array" aca="1" ref="T42" ca="1">IF($R42="Y",VLOOKUP(S42,INDIRECT($P$1),2,0)*INDIRECT($Q$1),VLOOKUP(S42,INDIRECT($P$1),2,0))</f>
        <v>366.52588385474735</v>
      </c>
      <c r="U42" s="271">
        <f t="shared" ca="1" si="38"/>
        <v>3.3564641378639868</v>
      </c>
      <c r="V42" s="271">
        <f t="shared" ca="1" si="39"/>
        <v>4.581573548184342</v>
      </c>
      <c r="W42" s="275"/>
      <c r="Y42" s="276"/>
      <c r="Z42" s="261"/>
      <c r="AA42" s="98"/>
      <c r="AB42" s="203" t="str">
        <f t="shared" si="40"/>
        <v>Non FF  20th year of service</v>
      </c>
      <c r="AC42" s="203"/>
      <c r="AD42" s="203"/>
      <c r="AE42" s="255">
        <f t="shared" ca="1" si="41"/>
        <v>3.3559999999999999</v>
      </c>
      <c r="AF42" s="255">
        <f t="shared" ca="1" si="42"/>
        <v>4.5819999999999999</v>
      </c>
    </row>
    <row r="43" spans="1:32" ht="17.25" customHeight="1">
      <c r="A43" s="56">
        <f t="shared" ca="1" si="33"/>
        <v>375.72584735180112</v>
      </c>
      <c r="B43" s="52" t="s">
        <v>175</v>
      </c>
      <c r="P43" s="260"/>
      <c r="Q43" s="260"/>
      <c r="R43" s="270" t="s">
        <v>287</v>
      </c>
      <c r="S43" s="280" t="str">
        <f t="shared" si="34"/>
        <v>Non FF  21st year of service</v>
      </c>
      <c r="T43" s="321" cm="1">
        <f t="array" aca="1" ref="T43" ca="1">IF($R43="Y",VLOOKUP(S43,INDIRECT($P$1),2,0)*INDIRECT($Q$1),VLOOKUP(S43,INDIRECT($P$1),2,0))</f>
        <v>375.72584735180112</v>
      </c>
      <c r="U43" s="271">
        <f t="shared" ca="1" si="38"/>
        <v>3.4407128878370066</v>
      </c>
      <c r="V43" s="271">
        <f t="shared" ca="1" si="39"/>
        <v>4.6965730918975144</v>
      </c>
      <c r="W43" s="275"/>
      <c r="Y43" s="276"/>
      <c r="Z43" s="261"/>
      <c r="AA43" s="98"/>
      <c r="AB43" s="203" t="str">
        <f t="shared" si="40"/>
        <v>Non FF  21st year of service</v>
      </c>
      <c r="AC43" s="203"/>
      <c r="AD43" s="203"/>
      <c r="AE43" s="255">
        <f t="shared" ca="1" si="41"/>
        <v>3.4409999999999998</v>
      </c>
      <c r="AF43" s="255">
        <f t="shared" ca="1" si="42"/>
        <v>4.6970000000000001</v>
      </c>
    </row>
    <row r="44" spans="1:32" ht="17.25" customHeight="1">
      <c r="A44" s="56">
        <f t="shared" ca="1" si="33"/>
        <v>384.92581084885478</v>
      </c>
      <c r="B44" s="52" t="s">
        <v>176</v>
      </c>
      <c r="P44" s="260"/>
      <c r="Q44" s="260"/>
      <c r="R44" s="270" t="s">
        <v>287</v>
      </c>
      <c r="S44" s="280" t="str">
        <f t="shared" si="34"/>
        <v>Non FF  22nd year of service</v>
      </c>
      <c r="T44" s="321" cm="1">
        <f t="array" aca="1" ref="T44" ca="1">IF($R44="Y",VLOOKUP(S44,INDIRECT($P$1),2,0)*INDIRECT($Q$1),VLOOKUP(S44,INDIRECT($P$1),2,0))</f>
        <v>384.92581084885478</v>
      </c>
      <c r="U44" s="271">
        <f t="shared" ca="1" si="38"/>
        <v>3.5249616378100255</v>
      </c>
      <c r="V44" s="271">
        <f t="shared" ca="1" si="39"/>
        <v>4.8115726356106849</v>
      </c>
      <c r="W44" s="275"/>
      <c r="Y44" s="276"/>
      <c r="Z44" s="261"/>
      <c r="AA44" s="98"/>
      <c r="AB44" s="203" t="str">
        <f t="shared" si="40"/>
        <v>Non FF  22nd year of service</v>
      </c>
      <c r="AC44" s="203"/>
      <c r="AD44" s="203"/>
      <c r="AE44" s="255">
        <f t="shared" ca="1" si="41"/>
        <v>3.5249999999999999</v>
      </c>
      <c r="AF44" s="255">
        <f t="shared" ca="1" si="42"/>
        <v>4.8120000000000003</v>
      </c>
    </row>
    <row r="45" spans="1:32" ht="17.25" customHeight="1">
      <c r="A45" s="56">
        <f t="shared" ca="1" si="33"/>
        <v>394.12577434590969</v>
      </c>
      <c r="B45" s="52" t="s">
        <v>177</v>
      </c>
      <c r="P45" s="260"/>
      <c r="Q45" s="260"/>
      <c r="R45" s="270" t="s">
        <v>287</v>
      </c>
      <c r="S45" s="280" t="str">
        <f t="shared" si="34"/>
        <v>Non FF  23rd year of service</v>
      </c>
      <c r="T45" s="321" cm="1">
        <f t="array" aca="1" ref="T45" ca="1">IF($R45="Y",VLOOKUP(S45,INDIRECT($P$1),2,0)*INDIRECT($Q$1),VLOOKUP(S45,INDIRECT($P$1),2,0))</f>
        <v>394.12577434590969</v>
      </c>
      <c r="U45" s="271">
        <f t="shared" ca="1" si="38"/>
        <v>3.6092103877830555</v>
      </c>
      <c r="V45" s="271">
        <f t="shared" ca="1" si="39"/>
        <v>4.9265721793238715</v>
      </c>
      <c r="W45" s="275"/>
      <c r="Y45" s="276"/>
      <c r="Z45" s="261"/>
      <c r="AA45" s="98"/>
      <c r="AB45" s="203" t="str">
        <f t="shared" si="40"/>
        <v>Non FF  23rd year of service</v>
      </c>
      <c r="AC45" s="203"/>
      <c r="AD45" s="203"/>
      <c r="AE45" s="255">
        <f t="shared" ca="1" si="41"/>
        <v>3.609</v>
      </c>
      <c r="AF45" s="255">
        <f t="shared" ca="1" si="42"/>
        <v>4.9269999999999996</v>
      </c>
    </row>
    <row r="46" spans="1:32" ht="17.25" customHeight="1">
      <c r="A46" s="56">
        <f t="shared" ca="1" si="33"/>
        <v>403.32573784296329</v>
      </c>
      <c r="B46" s="52" t="s">
        <v>178</v>
      </c>
      <c r="P46" s="260"/>
      <c r="Q46" s="260"/>
      <c r="R46" s="270" t="s">
        <v>287</v>
      </c>
      <c r="S46" s="280" t="str">
        <f t="shared" si="34"/>
        <v>Non FF  24th year of service</v>
      </c>
      <c r="T46" s="321" cm="1">
        <f t="array" aca="1" ref="T46" ca="1">IF($R46="Y",VLOOKUP(S46,INDIRECT($P$1),2,0)*INDIRECT($Q$1),VLOOKUP(S46,INDIRECT($P$1),2,0))</f>
        <v>403.32573784296329</v>
      </c>
      <c r="U46" s="271">
        <f t="shared" ca="1" si="38"/>
        <v>3.6934591377560739</v>
      </c>
      <c r="V46" s="271">
        <f t="shared" ca="1" si="39"/>
        <v>5.0415717230370412</v>
      </c>
      <c r="W46" s="275"/>
      <c r="Y46" s="276"/>
      <c r="Z46" s="261"/>
      <c r="AA46" s="98"/>
      <c r="AB46" s="203" t="str">
        <f t="shared" si="40"/>
        <v>Non FF  24th year of service</v>
      </c>
      <c r="AC46" s="203"/>
      <c r="AD46" s="203"/>
      <c r="AE46" s="255">
        <f t="shared" ca="1" si="41"/>
        <v>3.6930000000000001</v>
      </c>
      <c r="AF46" s="255">
        <f t="shared" ca="1" si="42"/>
        <v>5.0419999999999998</v>
      </c>
    </row>
    <row r="47" spans="1:32" ht="17.25" customHeight="1">
      <c r="A47" s="56">
        <f t="shared" ca="1" si="33"/>
        <v>440.62199273929315</v>
      </c>
      <c r="B47" s="52" t="s">
        <v>179</v>
      </c>
      <c r="P47" s="260"/>
      <c r="Q47" s="260"/>
      <c r="R47" s="270" t="s">
        <v>287</v>
      </c>
      <c r="S47" s="280" t="str">
        <f t="shared" si="34"/>
        <v>Non FF  25th year of service</v>
      </c>
      <c r="T47" s="321" cm="1">
        <f t="array" aca="1" ref="T47" ca="1">IF($R47="Y",VLOOKUP(S47,INDIRECT($P$1),2,0)*INDIRECT($Q$1),VLOOKUP(S47,INDIRECT($P$1),2,0))</f>
        <v>440.62199273929315</v>
      </c>
      <c r="U47" s="271">
        <f t="shared" ca="1" si="38"/>
        <v>4.0349999335100106</v>
      </c>
      <c r="V47" s="271">
        <f t="shared" ca="1" si="39"/>
        <v>5.5077749092411645</v>
      </c>
      <c r="W47" s="275"/>
      <c r="Y47" s="276"/>
      <c r="Z47" s="261"/>
      <c r="AA47" s="98"/>
      <c r="AB47" s="203" t="str">
        <f t="shared" si="40"/>
        <v>Non FF  25th year of service</v>
      </c>
      <c r="AC47" s="203"/>
      <c r="AD47" s="203"/>
      <c r="AE47" s="255">
        <f t="shared" ca="1" si="41"/>
        <v>4.0350000000000001</v>
      </c>
      <c r="AF47" s="255">
        <f t="shared" ca="1" si="42"/>
        <v>5.508</v>
      </c>
    </row>
    <row r="48" spans="1:32">
      <c r="A48" s="317"/>
      <c r="B48" s="52"/>
      <c r="P48" s="260"/>
      <c r="Q48" s="260"/>
      <c r="R48" s="274"/>
      <c r="U48" s="277"/>
      <c r="V48" s="278"/>
      <c r="W48" s="278"/>
      <c r="Z48" s="261"/>
      <c r="AA48" s="98"/>
      <c r="AE48" s="259"/>
      <c r="AF48" s="259"/>
    </row>
    <row r="49" spans="1:32" ht="27.75" customHeight="1">
      <c r="A49" s="318" t="s">
        <v>136</v>
      </c>
      <c r="B49" s="42" t="s">
        <v>181</v>
      </c>
      <c r="P49" s="260"/>
      <c r="Q49" s="260"/>
      <c r="R49" s="324" t="s">
        <v>286</v>
      </c>
      <c r="S49" s="325" t="s">
        <v>297</v>
      </c>
      <c r="T49" s="323"/>
      <c r="U49" s="267" t="s">
        <v>232</v>
      </c>
      <c r="V49" s="267" t="s">
        <v>233</v>
      </c>
      <c r="W49" s="260"/>
      <c r="Z49" s="261"/>
      <c r="AA49" s="98"/>
      <c r="AB49" s="257" t="s">
        <v>297</v>
      </c>
      <c r="AC49" s="203"/>
      <c r="AD49" s="257"/>
      <c r="AE49" s="258" t="str">
        <f>U49</f>
        <v>CFH/109.2</v>
      </c>
      <c r="AF49" s="258" t="str">
        <f>V49</f>
        <v>CFI/80</v>
      </c>
    </row>
    <row r="50" spans="1:32" ht="17.25" customHeight="1">
      <c r="A50" s="56">
        <f ca="1">T50</f>
        <v>20.253157051068193</v>
      </c>
      <c r="B50" s="52" t="s">
        <v>161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160"/>
      <c r="P50" s="260"/>
      <c r="Q50" s="260"/>
      <c r="R50" s="270" t="s">
        <v>287</v>
      </c>
      <c r="S50" s="280" t="str">
        <f t="shared" ref="S50:S69" si="43">"FF "&amp;B50</f>
        <v>FF  7th year of service</v>
      </c>
      <c r="T50" s="321" cm="1">
        <f t="array" aca="1" ref="T50" ca="1">IF($R50="Y",VLOOKUP(S50,INDIRECT($P$1),2,0)*INDIRECT($Q$1),VLOOKUP(S50,INDIRECT($P$1),2,0))</f>
        <v>20.253157051068193</v>
      </c>
      <c r="U50" s="271">
        <f t="shared" ref="U50:U69" ca="1" si="44">T50/109.2</f>
        <v>0.18546847116362813</v>
      </c>
      <c r="V50" s="271">
        <f t="shared" ref="V50:V69" ca="1" si="45">T50/80</f>
        <v>0.25316446313835239</v>
      </c>
      <c r="W50" s="275"/>
      <c r="Z50" s="261"/>
      <c r="AA50" s="98"/>
      <c r="AB50" s="203" t="str">
        <f t="shared" si="40"/>
        <v>FF  7th year of service</v>
      </c>
      <c r="AC50" s="203"/>
      <c r="AD50" s="203"/>
      <c r="AE50" s="255">
        <f t="shared" ca="1" si="41"/>
        <v>0.185</v>
      </c>
      <c r="AF50" s="255">
        <f t="shared" ca="1" si="42"/>
        <v>0.253</v>
      </c>
    </row>
    <row r="51" spans="1:32" ht="17.25" customHeight="1">
      <c r="A51" s="56">
        <f t="shared" ref="A51:A69" ca="1" si="46">T51</f>
        <v>28.725065882887492</v>
      </c>
      <c r="B51" s="52" t="s">
        <v>162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60"/>
      <c r="P51" s="260"/>
      <c r="Q51" s="260"/>
      <c r="R51" s="270" t="s">
        <v>287</v>
      </c>
      <c r="S51" s="280" t="str">
        <f t="shared" si="43"/>
        <v>FF  8th year of service</v>
      </c>
      <c r="T51" s="321" cm="1">
        <f t="array" aca="1" ref="T51" ca="1">IF($R51="Y",VLOOKUP(S51,INDIRECT($P$1),2,0)*INDIRECT($Q$1),VLOOKUP(S51,INDIRECT($P$1),2,0))</f>
        <v>28.725065882887492</v>
      </c>
      <c r="U51" s="271">
        <f t="shared" ca="1" si="44"/>
        <v>0.26305005387259606</v>
      </c>
      <c r="V51" s="271">
        <f t="shared" ca="1" si="45"/>
        <v>0.35906332353609366</v>
      </c>
      <c r="W51" s="275"/>
      <c r="Y51" s="276"/>
      <c r="Z51" s="261"/>
      <c r="AA51" s="98"/>
      <c r="AB51" s="203" t="str">
        <f t="shared" si="40"/>
        <v>FF  8th year of service</v>
      </c>
      <c r="AC51" s="203"/>
      <c r="AD51" s="203"/>
      <c r="AE51" s="255">
        <f t="shared" ca="1" si="41"/>
        <v>0.26300000000000001</v>
      </c>
      <c r="AF51" s="255">
        <f t="shared" ca="1" si="42"/>
        <v>0.35899999999999999</v>
      </c>
    </row>
    <row r="52" spans="1:32" ht="17.25" customHeight="1">
      <c r="A52" s="56">
        <f t="shared" ca="1" si="46"/>
        <v>37.196974714706904</v>
      </c>
      <c r="B52" s="52" t="s">
        <v>163</v>
      </c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160"/>
      <c r="P52" s="260"/>
      <c r="Q52" s="260"/>
      <c r="R52" s="270" t="s">
        <v>287</v>
      </c>
      <c r="S52" s="280" t="str">
        <f t="shared" si="43"/>
        <v>FF  9th year of service</v>
      </c>
      <c r="T52" s="321" cm="1">
        <f t="array" aca="1" ref="T52" ca="1">IF($R52="Y",VLOOKUP(S52,INDIRECT($P$1),2,0)*INDIRECT($Q$1),VLOOKUP(S52,INDIRECT($P$1),2,0))</f>
        <v>37.196974714706904</v>
      </c>
      <c r="U52" s="271">
        <f t="shared" ca="1" si="44"/>
        <v>0.34063163658156503</v>
      </c>
      <c r="V52" s="271">
        <f t="shared" ca="1" si="45"/>
        <v>0.46496218393383631</v>
      </c>
      <c r="W52" s="275"/>
      <c r="Y52" s="276"/>
      <c r="Z52" s="261"/>
      <c r="AA52" s="98"/>
      <c r="AB52" s="203" t="str">
        <f t="shared" si="40"/>
        <v>FF  9th year of service</v>
      </c>
      <c r="AC52" s="203"/>
      <c r="AD52" s="203"/>
      <c r="AE52" s="255">
        <f t="shared" ca="1" si="41"/>
        <v>0.34100000000000003</v>
      </c>
      <c r="AF52" s="255">
        <f t="shared" ca="1" si="42"/>
        <v>0.46500000000000002</v>
      </c>
    </row>
    <row r="53" spans="1:32" ht="17.25" customHeight="1">
      <c r="A53" s="56">
        <f t="shared" ca="1" si="46"/>
        <v>45.668883546526324</v>
      </c>
      <c r="B53" s="52" t="s">
        <v>164</v>
      </c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160"/>
      <c r="P53" s="260"/>
      <c r="Q53" s="260"/>
      <c r="R53" s="270" t="s">
        <v>287</v>
      </c>
      <c r="S53" s="280" t="str">
        <f t="shared" si="43"/>
        <v>FF  10th year of service</v>
      </c>
      <c r="T53" s="321" cm="1">
        <f t="array" aca="1" ref="T53" ca="1">IF($R53="Y",VLOOKUP(S53,INDIRECT($P$1),2,0)*INDIRECT($Q$1),VLOOKUP(S53,INDIRECT($P$1),2,0))</f>
        <v>45.668883546526324</v>
      </c>
      <c r="U53" s="271">
        <f t="shared" ca="1" si="44"/>
        <v>0.41821321929053407</v>
      </c>
      <c r="V53" s="271">
        <f t="shared" ca="1" si="45"/>
        <v>0.57086104433157903</v>
      </c>
      <c r="W53" s="275"/>
      <c r="Y53" s="276"/>
      <c r="Z53" s="261"/>
      <c r="AA53" s="98"/>
      <c r="AB53" s="203" t="str">
        <f t="shared" si="40"/>
        <v>FF  10th year of service</v>
      </c>
      <c r="AC53" s="203"/>
      <c r="AD53" s="203"/>
      <c r="AE53" s="255">
        <f t="shared" ca="1" si="41"/>
        <v>0.41799999999999998</v>
      </c>
      <c r="AF53" s="255">
        <f t="shared" ca="1" si="42"/>
        <v>0.57099999999999995</v>
      </c>
    </row>
    <row r="54" spans="1:32" ht="17.25" customHeight="1">
      <c r="A54" s="56">
        <f t="shared" ca="1" si="46"/>
        <v>54.140792378345637</v>
      </c>
      <c r="B54" s="52" t="s">
        <v>165</v>
      </c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160"/>
      <c r="P54" s="260"/>
      <c r="Q54" s="260"/>
      <c r="R54" s="270" t="s">
        <v>287</v>
      </c>
      <c r="S54" s="280" t="str">
        <f t="shared" si="43"/>
        <v>FF  11th year of service</v>
      </c>
      <c r="T54" s="321" cm="1">
        <f t="array" aca="1" ref="T54" ca="1">IF($R54="Y",VLOOKUP(S54,INDIRECT($P$1),2,0)*INDIRECT($Q$1),VLOOKUP(S54,INDIRECT($P$1),2,0))</f>
        <v>54.140792378345637</v>
      </c>
      <c r="U54" s="271">
        <f t="shared" ca="1" si="44"/>
        <v>0.49579480199950215</v>
      </c>
      <c r="V54" s="271">
        <f t="shared" ca="1" si="45"/>
        <v>0.67675990472932046</v>
      </c>
      <c r="W54" s="275"/>
      <c r="Y54" s="276"/>
      <c r="Z54" s="261"/>
      <c r="AA54" s="98"/>
      <c r="AB54" s="203" t="str">
        <f t="shared" si="40"/>
        <v>FF  11th year of service</v>
      </c>
      <c r="AC54" s="203"/>
      <c r="AD54" s="203"/>
      <c r="AE54" s="255">
        <f t="shared" ca="1" si="41"/>
        <v>0.496</v>
      </c>
      <c r="AF54" s="255">
        <f t="shared" ca="1" si="42"/>
        <v>0.67700000000000005</v>
      </c>
    </row>
    <row r="55" spans="1:32" ht="17.25" customHeight="1">
      <c r="A55" s="56">
        <f t="shared" ca="1" si="46"/>
        <v>163.6302860114491</v>
      </c>
      <c r="B55" s="52" t="s">
        <v>166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160"/>
      <c r="P55" s="260"/>
      <c r="Q55" s="260"/>
      <c r="R55" s="270" t="s">
        <v>287</v>
      </c>
      <c r="S55" s="280" t="str">
        <f t="shared" si="43"/>
        <v>FF  12th year of service</v>
      </c>
      <c r="T55" s="321" cm="1">
        <f t="array" aca="1" ref="T55" ca="1">IF($R55="Y",VLOOKUP(S55,INDIRECT($P$1),2,0)*INDIRECT($Q$1),VLOOKUP(S55,INDIRECT($P$1),2,0))</f>
        <v>163.6302860114491</v>
      </c>
      <c r="U55" s="271">
        <f t="shared" ca="1" si="44"/>
        <v>1.4984458425956877</v>
      </c>
      <c r="V55" s="271">
        <f t="shared" ca="1" si="45"/>
        <v>2.0453785751431139</v>
      </c>
      <c r="W55" s="275"/>
      <c r="Y55" s="276"/>
      <c r="Z55" s="261"/>
      <c r="AA55" s="98"/>
      <c r="AB55" s="203" t="str">
        <f t="shared" si="40"/>
        <v>FF  12th year of service</v>
      </c>
      <c r="AC55" s="203"/>
      <c r="AD55" s="203"/>
      <c r="AE55" s="255">
        <f t="shared" ca="1" si="41"/>
        <v>1.498</v>
      </c>
      <c r="AF55" s="255">
        <f t="shared" ca="1" si="42"/>
        <v>2.0449999999999999</v>
      </c>
    </row>
    <row r="56" spans="1:32" ht="17.25" customHeight="1">
      <c r="A56" s="56">
        <f t="shared" ca="1" si="46"/>
        <v>172.83024950850276</v>
      </c>
      <c r="B56" s="52" t="s">
        <v>167</v>
      </c>
      <c r="P56" s="260"/>
      <c r="Q56" s="260"/>
      <c r="R56" s="270" t="s">
        <v>287</v>
      </c>
      <c r="S56" s="280" t="str">
        <f t="shared" si="43"/>
        <v>FF  13th year of service</v>
      </c>
      <c r="T56" s="321" cm="1">
        <f t="array" aca="1" ref="T56" ca="1">IF($R56="Y",VLOOKUP(S56,INDIRECT($P$1),2,0)*INDIRECT($Q$1),VLOOKUP(S56,INDIRECT($P$1),2,0))</f>
        <v>172.83024950850276</v>
      </c>
      <c r="U56" s="271">
        <f t="shared" ca="1" si="44"/>
        <v>1.5826945925687066</v>
      </c>
      <c r="V56" s="271">
        <f t="shared" ca="1" si="45"/>
        <v>2.1603781188562845</v>
      </c>
      <c r="W56" s="275"/>
      <c r="Y56" s="276"/>
      <c r="Z56" s="261"/>
      <c r="AA56" s="98"/>
      <c r="AB56" s="203" t="str">
        <f t="shared" si="40"/>
        <v>FF  13th year of service</v>
      </c>
      <c r="AC56" s="203"/>
      <c r="AD56" s="203"/>
      <c r="AE56" s="255">
        <f t="shared" ca="1" si="41"/>
        <v>1.583</v>
      </c>
      <c r="AF56" s="255">
        <f t="shared" ca="1" si="42"/>
        <v>2.16</v>
      </c>
    </row>
    <row r="57" spans="1:32" ht="17.25" customHeight="1">
      <c r="A57" s="56">
        <f t="shared" ca="1" si="46"/>
        <v>182.01366630861907</v>
      </c>
      <c r="B57" s="52" t="s">
        <v>168</v>
      </c>
      <c r="P57" s="260"/>
      <c r="Q57" s="260"/>
      <c r="R57" s="270" t="s">
        <v>287</v>
      </c>
      <c r="S57" s="280" t="str">
        <f t="shared" si="43"/>
        <v>FF  14th year of service</v>
      </c>
      <c r="T57" s="321" cm="1">
        <f t="array" aca="1" ref="T57" ca="1">IF($R57="Y",VLOOKUP(S57,INDIRECT($P$1),2,0)*INDIRECT($Q$1),VLOOKUP(S57,INDIRECT($P$1),2,0))</f>
        <v>182.01366630861907</v>
      </c>
      <c r="U57" s="271">
        <f t="shared" ca="1" si="44"/>
        <v>1.6667918160129951</v>
      </c>
      <c r="V57" s="271">
        <f t="shared" ca="1" si="45"/>
        <v>2.2751708288577381</v>
      </c>
      <c r="W57" s="275"/>
      <c r="Y57" s="276"/>
      <c r="Z57" s="261"/>
      <c r="AA57" s="98"/>
      <c r="AB57" s="203" t="str">
        <f t="shared" si="40"/>
        <v>FF  14th year of service</v>
      </c>
      <c r="AC57" s="203"/>
      <c r="AD57" s="203"/>
      <c r="AE57" s="255">
        <f t="shared" ca="1" si="41"/>
        <v>1.667</v>
      </c>
      <c r="AF57" s="255">
        <f t="shared" ca="1" si="42"/>
        <v>2.2749999999999999</v>
      </c>
    </row>
    <row r="58" spans="1:32" ht="17.25" customHeight="1">
      <c r="A58" s="56">
        <f t="shared" ca="1" si="46"/>
        <v>238.07387553167385</v>
      </c>
      <c r="B58" s="52" t="s">
        <v>169</v>
      </c>
      <c r="P58" s="260"/>
      <c r="Q58" s="260"/>
      <c r="R58" s="270" t="s">
        <v>287</v>
      </c>
      <c r="S58" s="280" t="str">
        <f t="shared" si="43"/>
        <v>FF  15th year of service</v>
      </c>
      <c r="T58" s="321" cm="1">
        <f t="array" aca="1" ref="T58" ca="1">IF($R58="Y",VLOOKUP(S58,INDIRECT($P$1),2,0)*INDIRECT($Q$1),VLOOKUP(S58,INDIRECT($P$1),2,0))</f>
        <v>238.07387553167385</v>
      </c>
      <c r="U58" s="271">
        <f t="shared" ca="1" si="44"/>
        <v>2.1801636953449988</v>
      </c>
      <c r="V58" s="271">
        <f t="shared" ca="1" si="45"/>
        <v>2.975923444145923</v>
      </c>
      <c r="W58" s="275"/>
      <c r="Y58" s="276"/>
      <c r="Z58" s="261"/>
      <c r="AA58" s="98"/>
      <c r="AB58" s="203" t="str">
        <f t="shared" si="40"/>
        <v>FF  15th year of service</v>
      </c>
      <c r="AC58" s="203"/>
      <c r="AD58" s="203"/>
      <c r="AE58" s="255">
        <f t="shared" ca="1" si="41"/>
        <v>2.1800000000000002</v>
      </c>
      <c r="AF58" s="255">
        <f t="shared" ca="1" si="42"/>
        <v>2.976</v>
      </c>
    </row>
    <row r="59" spans="1:32" ht="17.25" customHeight="1">
      <c r="A59" s="56">
        <f t="shared" ca="1" si="46"/>
        <v>247.25729233179021</v>
      </c>
      <c r="B59" s="52" t="s">
        <v>170</v>
      </c>
      <c r="P59" s="260"/>
      <c r="Q59" s="260"/>
      <c r="R59" s="270" t="s">
        <v>287</v>
      </c>
      <c r="S59" s="280" t="str">
        <f t="shared" si="43"/>
        <v>FF  16th year of service</v>
      </c>
      <c r="T59" s="321" cm="1">
        <f t="array" aca="1" ref="T59" ca="1">IF($R59="Y",VLOOKUP(S59,INDIRECT($P$1),2,0)*INDIRECT($Q$1),VLOOKUP(S59,INDIRECT($P$1),2,0))</f>
        <v>247.25729233179021</v>
      </c>
      <c r="U59" s="271">
        <f t="shared" ca="1" si="44"/>
        <v>2.2642609187892875</v>
      </c>
      <c r="V59" s="271">
        <f t="shared" ca="1" si="45"/>
        <v>3.0907161541473775</v>
      </c>
      <c r="W59" s="275"/>
      <c r="Y59" s="276"/>
      <c r="Z59" s="261"/>
      <c r="AA59" s="98"/>
      <c r="AB59" s="203" t="str">
        <f t="shared" si="40"/>
        <v>FF  16th year of service</v>
      </c>
      <c r="AC59" s="203"/>
      <c r="AD59" s="203"/>
      <c r="AE59" s="255">
        <f t="shared" ca="1" si="41"/>
        <v>2.2639999999999998</v>
      </c>
      <c r="AF59" s="255">
        <f t="shared" ca="1" si="42"/>
        <v>3.0910000000000002</v>
      </c>
    </row>
    <row r="60" spans="1:32" ht="17.25" customHeight="1">
      <c r="A60" s="56">
        <f t="shared" ca="1" si="46"/>
        <v>256.45725582884393</v>
      </c>
      <c r="B60" s="52" t="s">
        <v>171</v>
      </c>
      <c r="P60" s="260"/>
      <c r="Q60" s="260"/>
      <c r="R60" s="270" t="s">
        <v>287</v>
      </c>
      <c r="S60" s="280" t="str">
        <f t="shared" si="43"/>
        <v>FF  17th year of service</v>
      </c>
      <c r="T60" s="321" cm="1">
        <f t="array" aca="1" ref="T60" ca="1">IF($R60="Y",VLOOKUP(S60,INDIRECT($P$1),2,0)*INDIRECT($Q$1),VLOOKUP(S60,INDIRECT($P$1),2,0))</f>
        <v>256.45725582884393</v>
      </c>
      <c r="U60" s="271">
        <f t="shared" ca="1" si="44"/>
        <v>2.3485096687623068</v>
      </c>
      <c r="V60" s="271">
        <f t="shared" ca="1" si="45"/>
        <v>3.205715697860549</v>
      </c>
      <c r="W60" s="275"/>
      <c r="Y60" s="276"/>
      <c r="Z60" s="261"/>
      <c r="AA60" s="98"/>
      <c r="AB60" s="203" t="str">
        <f t="shared" si="40"/>
        <v>FF  17th year of service</v>
      </c>
      <c r="AC60" s="203"/>
      <c r="AD60" s="203"/>
      <c r="AE60" s="255">
        <f t="shared" ca="1" si="41"/>
        <v>2.3490000000000002</v>
      </c>
      <c r="AF60" s="255">
        <f t="shared" ca="1" si="42"/>
        <v>3.206</v>
      </c>
    </row>
    <row r="61" spans="1:32" ht="17.25" customHeight="1">
      <c r="A61" s="56">
        <f t="shared" ca="1" si="46"/>
        <v>265.65721932589889</v>
      </c>
      <c r="B61" s="52" t="s">
        <v>172</v>
      </c>
      <c r="P61" s="260"/>
      <c r="Q61" s="260"/>
      <c r="R61" s="270" t="s">
        <v>287</v>
      </c>
      <c r="S61" s="280" t="str">
        <f t="shared" si="43"/>
        <v>FF  18th year of service</v>
      </c>
      <c r="T61" s="321" cm="1">
        <f t="array" aca="1" ref="T61" ca="1">IF($R61="Y",VLOOKUP(S61,INDIRECT($P$1),2,0)*INDIRECT($Q$1),VLOOKUP(S61,INDIRECT($P$1),2,0))</f>
        <v>265.65721932589889</v>
      </c>
      <c r="U61" s="271">
        <f t="shared" ca="1" si="44"/>
        <v>2.4327584187353377</v>
      </c>
      <c r="V61" s="271">
        <f t="shared" ca="1" si="45"/>
        <v>3.320715241573736</v>
      </c>
      <c r="W61" s="275"/>
      <c r="Y61" s="276"/>
      <c r="Z61" s="261"/>
      <c r="AA61" s="98"/>
      <c r="AB61" s="203" t="str">
        <f t="shared" si="40"/>
        <v>FF  18th year of service</v>
      </c>
      <c r="AC61" s="203"/>
      <c r="AD61" s="203"/>
      <c r="AE61" s="255">
        <f t="shared" ca="1" si="41"/>
        <v>2.4329999999999998</v>
      </c>
      <c r="AF61" s="255">
        <f t="shared" ca="1" si="42"/>
        <v>3.3210000000000002</v>
      </c>
    </row>
    <row r="62" spans="1:32" ht="17.25" customHeight="1">
      <c r="A62" s="56">
        <f t="shared" ca="1" si="46"/>
        <v>291.73481369884229</v>
      </c>
      <c r="B62" s="52" t="s">
        <v>173</v>
      </c>
      <c r="P62" s="260"/>
      <c r="Q62" s="260"/>
      <c r="R62" s="270" t="s">
        <v>287</v>
      </c>
      <c r="S62" s="280" t="str">
        <f t="shared" si="43"/>
        <v>FF  19th year of service</v>
      </c>
      <c r="T62" s="321" cm="1">
        <f t="array" aca="1" ref="T62" ca="1">IF($R62="Y",VLOOKUP(S62,INDIRECT($P$1),2,0)*INDIRECT($Q$1),VLOOKUP(S62,INDIRECT($P$1),2,0))</f>
        <v>291.73481369884229</v>
      </c>
      <c r="U62" s="271">
        <f t="shared" ca="1" si="44"/>
        <v>2.6715642280113761</v>
      </c>
      <c r="V62" s="271">
        <f t="shared" ca="1" si="45"/>
        <v>3.6466851712355286</v>
      </c>
      <c r="W62" s="275"/>
      <c r="Y62" s="276"/>
      <c r="Z62" s="261"/>
      <c r="AA62" s="98"/>
      <c r="AB62" s="203" t="str">
        <f t="shared" si="40"/>
        <v>FF  19th year of service</v>
      </c>
      <c r="AC62" s="203"/>
      <c r="AD62" s="203"/>
      <c r="AE62" s="255">
        <f t="shared" ca="1" si="41"/>
        <v>2.6720000000000002</v>
      </c>
      <c r="AF62" s="255">
        <f t="shared" ca="1" si="42"/>
        <v>3.6469999999999998</v>
      </c>
    </row>
    <row r="63" spans="1:32" ht="17.25" customHeight="1">
      <c r="A63" s="56">
        <f t="shared" ca="1" si="46"/>
        <v>366.52588385474735</v>
      </c>
      <c r="B63" s="52" t="s">
        <v>174</v>
      </c>
      <c r="P63" s="260"/>
      <c r="Q63" s="260"/>
      <c r="R63" s="270" t="s">
        <v>287</v>
      </c>
      <c r="S63" s="280" t="str">
        <f t="shared" si="43"/>
        <v>FF  20th year of service</v>
      </c>
      <c r="T63" s="321" cm="1">
        <f t="array" aca="1" ref="T63" ca="1">IF($R63="Y",VLOOKUP(S63,INDIRECT($P$1),2,0)*INDIRECT($Q$1),VLOOKUP(S63,INDIRECT($P$1),2,0))</f>
        <v>366.52588385474735</v>
      </c>
      <c r="U63" s="271">
        <f t="shared" ca="1" si="44"/>
        <v>3.3564641378639868</v>
      </c>
      <c r="V63" s="271">
        <f t="shared" ca="1" si="45"/>
        <v>4.581573548184342</v>
      </c>
      <c r="W63" s="275"/>
      <c r="Y63" s="276"/>
      <c r="Z63" s="261"/>
      <c r="AA63" s="98"/>
      <c r="AB63" s="203" t="str">
        <f t="shared" si="40"/>
        <v>FF  20th year of service</v>
      </c>
      <c r="AC63" s="203"/>
      <c r="AD63" s="203"/>
      <c r="AE63" s="255">
        <f t="shared" ca="1" si="41"/>
        <v>3.3559999999999999</v>
      </c>
      <c r="AF63" s="255">
        <f t="shared" ca="1" si="42"/>
        <v>4.5819999999999999</v>
      </c>
    </row>
    <row r="64" spans="1:32" ht="17.25" customHeight="1">
      <c r="A64" s="56">
        <f t="shared" ca="1" si="46"/>
        <v>431.75589048507811</v>
      </c>
      <c r="B64" s="52" t="s">
        <v>175</v>
      </c>
      <c r="P64" s="260"/>
      <c r="Q64" s="260"/>
      <c r="R64" s="270" t="s">
        <v>287</v>
      </c>
      <c r="S64" s="280" t="str">
        <f t="shared" si="43"/>
        <v>FF  21st year of service</v>
      </c>
      <c r="T64" s="321" cm="1">
        <f t="array" aca="1" ref="T64" ca="1">IF($R64="Y",VLOOKUP(S64,INDIRECT($P$1),2,0)*INDIRECT($Q$1),VLOOKUP(S64,INDIRECT($P$1),2,0))</f>
        <v>431.75589048507811</v>
      </c>
      <c r="U64" s="271">
        <f t="shared" ca="1" si="44"/>
        <v>3.9538085209256235</v>
      </c>
      <c r="V64" s="271">
        <f t="shared" ca="1" si="45"/>
        <v>5.3969486310634762</v>
      </c>
      <c r="W64" s="275"/>
      <c r="Y64" s="276"/>
      <c r="Z64" s="261"/>
      <c r="AA64" s="98"/>
      <c r="AB64" s="203" t="str">
        <f t="shared" si="40"/>
        <v>FF  21st year of service</v>
      </c>
      <c r="AC64" s="203"/>
      <c r="AD64" s="203"/>
      <c r="AE64" s="255">
        <f t="shared" ca="1" si="41"/>
        <v>3.9540000000000002</v>
      </c>
      <c r="AF64" s="255">
        <f t="shared" ca="1" si="42"/>
        <v>5.3970000000000002</v>
      </c>
    </row>
    <row r="65" spans="1:36" ht="17.25" customHeight="1">
      <c r="A65" s="56">
        <f t="shared" ca="1" si="46"/>
        <v>440.955853982132</v>
      </c>
      <c r="B65" s="52" t="s">
        <v>176</v>
      </c>
      <c r="P65" s="260"/>
      <c r="Q65" s="260"/>
      <c r="R65" s="270" t="s">
        <v>287</v>
      </c>
      <c r="S65" s="280" t="str">
        <f t="shared" si="43"/>
        <v>FF  22nd year of service</v>
      </c>
      <c r="T65" s="321" cm="1">
        <f t="array" aca="1" ref="T65" ca="1">IF($R65="Y",VLOOKUP(S65,INDIRECT($P$1),2,0)*INDIRECT($Q$1),VLOOKUP(S65,INDIRECT($P$1),2,0))</f>
        <v>440.955853982132</v>
      </c>
      <c r="U65" s="271">
        <f t="shared" ca="1" si="44"/>
        <v>4.0380572708986442</v>
      </c>
      <c r="V65" s="271">
        <f t="shared" ca="1" si="45"/>
        <v>5.5119481747766503</v>
      </c>
      <c r="W65" s="275"/>
      <c r="Y65" s="276"/>
      <c r="Z65" s="261"/>
      <c r="AA65" s="98"/>
      <c r="AB65" s="203" t="str">
        <f t="shared" si="40"/>
        <v>FF  22nd year of service</v>
      </c>
      <c r="AC65" s="203"/>
      <c r="AD65" s="203"/>
      <c r="AE65" s="255">
        <f t="shared" ca="1" si="41"/>
        <v>4.0380000000000003</v>
      </c>
      <c r="AF65" s="255">
        <f t="shared" ca="1" si="42"/>
        <v>5.5119999999999996</v>
      </c>
    </row>
    <row r="66" spans="1:36" ht="17.25" customHeight="1">
      <c r="A66" s="56">
        <f t="shared" ca="1" si="46"/>
        <v>450.15581747918594</v>
      </c>
      <c r="B66" s="52" t="s">
        <v>177</v>
      </c>
      <c r="P66" s="260"/>
      <c r="Q66" s="260"/>
      <c r="R66" s="270" t="s">
        <v>287</v>
      </c>
      <c r="S66" s="280" t="str">
        <f t="shared" si="43"/>
        <v>FF  23rd year of service</v>
      </c>
      <c r="T66" s="321" cm="1">
        <f t="array" aca="1" ref="T66" ca="1">IF($R66="Y",VLOOKUP(S66,INDIRECT($P$1),2,0)*INDIRECT($Q$1),VLOOKUP(S66,INDIRECT($P$1),2,0))</f>
        <v>450.15581747918594</v>
      </c>
      <c r="U66" s="271">
        <f t="shared" ca="1" si="44"/>
        <v>4.1223060208716662</v>
      </c>
      <c r="V66" s="271">
        <f t="shared" ca="1" si="45"/>
        <v>5.6269477184898244</v>
      </c>
      <c r="W66" s="275"/>
      <c r="Y66" s="276"/>
      <c r="Z66" s="261"/>
      <c r="AA66" s="98"/>
      <c r="AB66" s="203" t="str">
        <f t="shared" si="40"/>
        <v>FF  23rd year of service</v>
      </c>
      <c r="AC66" s="203"/>
      <c r="AD66" s="203"/>
      <c r="AE66" s="255">
        <f t="shared" ca="1" si="41"/>
        <v>4.1219999999999999</v>
      </c>
      <c r="AF66" s="255">
        <f t="shared" ca="1" si="42"/>
        <v>5.6269999999999998</v>
      </c>
    </row>
    <row r="67" spans="1:36" ht="17.25" customHeight="1">
      <c r="A67" s="56">
        <f t="shared" ca="1" si="46"/>
        <v>459.35578097623983</v>
      </c>
      <c r="B67" s="52" t="s">
        <v>178</v>
      </c>
      <c r="P67" s="260"/>
      <c r="Q67" s="260"/>
      <c r="R67" s="270" t="s">
        <v>287</v>
      </c>
      <c r="S67" s="280" t="str">
        <f t="shared" si="43"/>
        <v>FF  24th year of service</v>
      </c>
      <c r="T67" s="321" cm="1">
        <f t="array" aca="1" ref="T67" ca="1">IF($R67="Y",VLOOKUP(S67,INDIRECT($P$1),2,0)*INDIRECT($Q$1),VLOOKUP(S67,INDIRECT($P$1),2,0))</f>
        <v>459.35578097623983</v>
      </c>
      <c r="U67" s="271">
        <f t="shared" ca="1" si="44"/>
        <v>4.2065547708446873</v>
      </c>
      <c r="V67" s="271">
        <f t="shared" ca="1" si="45"/>
        <v>5.7419472622029977</v>
      </c>
      <c r="W67" s="275"/>
      <c r="Y67" s="276"/>
      <c r="Z67" s="261"/>
      <c r="AA67" s="98"/>
      <c r="AB67" s="203" t="str">
        <f t="shared" si="40"/>
        <v>FF  24th year of service</v>
      </c>
      <c r="AC67" s="203"/>
      <c r="AD67" s="203"/>
      <c r="AE67" s="255">
        <f t="shared" ca="1" si="41"/>
        <v>4.2069999999999999</v>
      </c>
      <c r="AF67" s="255">
        <f t="shared" ca="1" si="42"/>
        <v>5.742</v>
      </c>
    </row>
    <row r="68" spans="1:36" ht="17.25" customHeight="1">
      <c r="A68" s="56">
        <f t="shared" ca="1" si="46"/>
        <v>496.65203587256968</v>
      </c>
      <c r="B68" s="52" t="s">
        <v>179</v>
      </c>
      <c r="P68" s="260"/>
      <c r="Q68" s="260"/>
      <c r="R68" s="270" t="s">
        <v>287</v>
      </c>
      <c r="S68" s="280" t="str">
        <f t="shared" si="43"/>
        <v>FF  25th year of service</v>
      </c>
      <c r="T68" s="321" cm="1">
        <f t="array" aca="1" ref="T68" ca="1">IF($R68="Y",VLOOKUP(S68,INDIRECT($P$1),2,0)*INDIRECT($Q$1),VLOOKUP(S68,INDIRECT($P$1),2,0))</f>
        <v>496.65203587256968</v>
      </c>
      <c r="U68" s="271">
        <f t="shared" ca="1" si="44"/>
        <v>4.5480955665986231</v>
      </c>
      <c r="V68" s="271">
        <f t="shared" ca="1" si="45"/>
        <v>6.208150448407121</v>
      </c>
      <c r="W68" s="275"/>
      <c r="Y68" s="276"/>
      <c r="Z68" s="261"/>
      <c r="AA68" s="98"/>
      <c r="AB68" s="203" t="str">
        <f t="shared" si="40"/>
        <v>FF  25th year of service</v>
      </c>
      <c r="AC68" s="203"/>
      <c r="AD68" s="203"/>
      <c r="AE68" s="255">
        <f t="shared" ca="1" si="41"/>
        <v>4.548</v>
      </c>
      <c r="AF68" s="255">
        <f t="shared" ca="1" si="42"/>
        <v>6.2080000000000002</v>
      </c>
    </row>
    <row r="69" spans="1:36" ht="17.25" customHeight="1">
      <c r="A69" s="56">
        <f t="shared" ca="1" si="46"/>
        <v>568.89355757398096</v>
      </c>
      <c r="B69" s="52" t="s">
        <v>180</v>
      </c>
      <c r="P69" s="260"/>
      <c r="Q69" s="260"/>
      <c r="R69" s="270" t="s">
        <v>287</v>
      </c>
      <c r="S69" s="280" t="str">
        <f t="shared" si="43"/>
        <v>FF 26th year of service</v>
      </c>
      <c r="T69" s="321" cm="1">
        <f t="array" aca="1" ref="T69" ca="1">IF($R69="Y",VLOOKUP(S69,INDIRECT($P$1),2,0)*INDIRECT($Q$1),VLOOKUP(S69,INDIRECT($P$1),2,0))</f>
        <v>568.89355757398096</v>
      </c>
      <c r="U69" s="271">
        <f t="shared" ca="1" si="44"/>
        <v>5.2096479631316939</v>
      </c>
      <c r="V69" s="271">
        <f t="shared" ca="1" si="45"/>
        <v>7.1111694696747616</v>
      </c>
      <c r="W69" s="275"/>
      <c r="Y69" s="276"/>
      <c r="Z69" s="261"/>
      <c r="AA69" s="98"/>
      <c r="AB69" s="203" t="str">
        <f t="shared" si="40"/>
        <v>FF 26th year of service</v>
      </c>
      <c r="AC69" s="203"/>
      <c r="AD69" s="203"/>
      <c r="AE69" s="255">
        <f t="shared" ca="1" si="41"/>
        <v>5.21</v>
      </c>
      <c r="AF69" s="255">
        <f t="shared" ca="1" si="42"/>
        <v>7.1109999999999998</v>
      </c>
    </row>
    <row r="70" spans="1:36" s="98" customFormat="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158"/>
      <c r="O70" s="260"/>
      <c r="P70" s="262"/>
      <c r="Q70" s="261"/>
      <c r="R70" s="261"/>
      <c r="S70" s="264"/>
      <c r="T70" s="261"/>
      <c r="U70" s="261"/>
      <c r="V70" s="261"/>
      <c r="W70" s="261"/>
      <c r="X70" s="261"/>
      <c r="Y70" s="261"/>
      <c r="Z70" s="265"/>
      <c r="AB70" s="256"/>
      <c r="AC70" s="256"/>
      <c r="AD70" s="256"/>
      <c r="AE70" s="256"/>
      <c r="AF70" s="256"/>
      <c r="AG70" s="256"/>
      <c r="AH70" s="256"/>
      <c r="AI70" s="256"/>
      <c r="AJ70" s="256"/>
    </row>
    <row r="71" spans="1:36" s="98" customFormat="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158"/>
      <c r="O71" s="260"/>
      <c r="P71" s="262"/>
      <c r="Q71" s="261"/>
      <c r="R71" s="261"/>
      <c r="S71" s="264"/>
      <c r="T71" s="261"/>
      <c r="U71" s="261"/>
      <c r="V71" s="261"/>
      <c r="W71" s="261"/>
      <c r="X71" s="261"/>
      <c r="Y71" s="261"/>
      <c r="Z71" s="265"/>
      <c r="AB71" s="256"/>
      <c r="AC71" s="256"/>
      <c r="AD71" s="256"/>
      <c r="AE71" s="256"/>
      <c r="AF71" s="256"/>
      <c r="AG71" s="256"/>
      <c r="AH71" s="256"/>
      <c r="AI71" s="256"/>
      <c r="AJ71" s="256"/>
    </row>
    <row r="72" spans="1:36" s="98" customFormat="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158"/>
      <c r="O72" s="260"/>
      <c r="P72" s="262"/>
      <c r="Q72" s="261"/>
      <c r="R72" s="261"/>
      <c r="S72" s="264"/>
      <c r="T72" s="261"/>
      <c r="U72" s="261"/>
      <c r="V72" s="261"/>
      <c r="W72" s="261"/>
      <c r="X72" s="261"/>
      <c r="Y72" s="261"/>
      <c r="Z72" s="265"/>
      <c r="AB72" s="256"/>
      <c r="AC72" s="256"/>
      <c r="AD72" s="256"/>
      <c r="AE72" s="256"/>
      <c r="AF72" s="256"/>
      <c r="AG72" s="256"/>
      <c r="AH72" s="256"/>
      <c r="AI72" s="256"/>
      <c r="AJ72" s="256"/>
    </row>
    <row r="73" spans="1:36" s="98" customFormat="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158"/>
      <c r="O73" s="260"/>
      <c r="P73" s="262"/>
      <c r="Q73" s="261"/>
      <c r="R73" s="261"/>
      <c r="S73" s="264"/>
      <c r="T73" s="261"/>
      <c r="U73" s="261"/>
      <c r="V73" s="261"/>
      <c r="W73" s="261"/>
      <c r="X73" s="261"/>
      <c r="Y73" s="261"/>
      <c r="Z73" s="265"/>
      <c r="AB73" s="256"/>
      <c r="AC73" s="256"/>
      <c r="AD73" s="256"/>
      <c r="AE73" s="256"/>
      <c r="AF73" s="256"/>
      <c r="AG73" s="256"/>
      <c r="AH73" s="256"/>
      <c r="AI73" s="256"/>
      <c r="AJ73" s="256"/>
    </row>
    <row r="74" spans="1:36" s="98" customFormat="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158"/>
      <c r="O74" s="260"/>
      <c r="P74" s="262"/>
      <c r="Q74" s="261"/>
      <c r="R74" s="261"/>
      <c r="S74" s="264"/>
      <c r="T74" s="261"/>
      <c r="U74" s="261"/>
      <c r="V74" s="261"/>
      <c r="W74" s="261"/>
      <c r="X74" s="261"/>
      <c r="Y74" s="261"/>
      <c r="Z74" s="265"/>
      <c r="AB74" s="256"/>
      <c r="AC74" s="256"/>
      <c r="AD74" s="256"/>
      <c r="AE74" s="256"/>
      <c r="AF74" s="256"/>
      <c r="AG74" s="256"/>
      <c r="AH74" s="256"/>
      <c r="AI74" s="256"/>
      <c r="AJ74" s="256"/>
    </row>
    <row r="75" spans="1:36" s="98" customFormat="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158"/>
      <c r="O75" s="260"/>
      <c r="P75" s="262"/>
      <c r="Q75" s="261"/>
      <c r="R75" s="261"/>
      <c r="S75" s="264"/>
      <c r="T75" s="261"/>
      <c r="U75" s="261"/>
      <c r="V75" s="261"/>
      <c r="W75" s="261"/>
      <c r="X75" s="261"/>
      <c r="Y75" s="261"/>
      <c r="Z75" s="265"/>
      <c r="AB75" s="256"/>
      <c r="AC75" s="256"/>
      <c r="AD75" s="256"/>
      <c r="AE75" s="256"/>
      <c r="AF75" s="256"/>
      <c r="AG75" s="256"/>
      <c r="AH75" s="256"/>
      <c r="AI75" s="256"/>
      <c r="AJ75" s="256"/>
    </row>
    <row r="76" spans="1:36" s="98" customFormat="1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158"/>
      <c r="O76" s="260"/>
      <c r="P76" s="262"/>
      <c r="Q76" s="261"/>
      <c r="R76" s="261"/>
      <c r="S76" s="264"/>
      <c r="T76" s="261"/>
      <c r="U76" s="261"/>
      <c r="V76" s="261"/>
      <c r="W76" s="261"/>
      <c r="X76" s="261"/>
      <c r="Y76" s="261"/>
      <c r="Z76" s="265"/>
      <c r="AB76" s="256"/>
      <c r="AC76" s="256"/>
      <c r="AD76" s="256"/>
      <c r="AE76" s="256"/>
      <c r="AF76" s="256"/>
      <c r="AG76" s="256"/>
      <c r="AH76" s="256"/>
      <c r="AI76" s="256"/>
      <c r="AJ76" s="256"/>
    </row>
    <row r="77" spans="1:36" s="98" customFormat="1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158"/>
      <c r="O77" s="260"/>
      <c r="P77" s="262"/>
      <c r="Q77" s="261"/>
      <c r="R77" s="261"/>
      <c r="S77" s="264"/>
      <c r="T77" s="261"/>
      <c r="U77" s="261"/>
      <c r="V77" s="261"/>
      <c r="W77" s="261"/>
      <c r="X77" s="261"/>
      <c r="Y77" s="261"/>
      <c r="Z77" s="265"/>
      <c r="AB77" s="256"/>
      <c r="AC77" s="256"/>
      <c r="AD77" s="256"/>
      <c r="AE77" s="256"/>
      <c r="AF77" s="256"/>
      <c r="AG77" s="256"/>
      <c r="AH77" s="256"/>
      <c r="AI77" s="256"/>
      <c r="AJ77" s="256"/>
    </row>
    <row r="78" spans="1:36" s="98" customFormat="1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158"/>
      <c r="O78" s="260"/>
      <c r="P78" s="262"/>
      <c r="Q78" s="261"/>
      <c r="R78" s="261"/>
      <c r="S78" s="264"/>
      <c r="T78" s="261"/>
      <c r="U78" s="261"/>
      <c r="V78" s="261"/>
      <c r="W78" s="261"/>
      <c r="X78" s="261"/>
      <c r="Y78" s="261"/>
      <c r="Z78" s="265"/>
      <c r="AB78" s="256"/>
      <c r="AC78" s="256"/>
      <c r="AD78" s="256"/>
      <c r="AE78" s="256"/>
      <c r="AF78" s="256"/>
      <c r="AG78" s="256"/>
      <c r="AH78" s="256"/>
      <c r="AI78" s="256"/>
      <c r="AJ78" s="256"/>
    </row>
    <row r="79" spans="1:36" s="98" customFormat="1">
      <c r="A79" s="42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158"/>
      <c r="O79" s="260"/>
      <c r="P79" s="262"/>
      <c r="Q79" s="261"/>
      <c r="R79" s="261"/>
      <c r="S79" s="264"/>
      <c r="T79" s="261"/>
      <c r="U79" s="261"/>
      <c r="V79" s="261"/>
      <c r="W79" s="261"/>
      <c r="X79" s="261"/>
      <c r="Y79" s="261"/>
      <c r="Z79" s="265"/>
      <c r="AB79" s="256"/>
      <c r="AC79" s="256"/>
      <c r="AD79" s="256"/>
      <c r="AE79" s="256"/>
      <c r="AF79" s="256"/>
      <c r="AG79" s="256"/>
      <c r="AH79" s="256"/>
      <c r="AI79" s="256"/>
      <c r="AJ79" s="256"/>
    </row>
    <row r="80" spans="1:36" s="98" customFormat="1">
      <c r="A80" s="41"/>
      <c r="B80" s="5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157"/>
      <c r="O80" s="260"/>
      <c r="P80" s="261"/>
      <c r="Q80" s="261"/>
      <c r="R80" s="261"/>
      <c r="S80" s="264"/>
      <c r="T80" s="261"/>
      <c r="U80" s="261"/>
      <c r="V80" s="261"/>
      <c r="W80" s="261"/>
      <c r="X80" s="261"/>
      <c r="Y80" s="261"/>
      <c r="Z80" s="265"/>
      <c r="AB80" s="256"/>
      <c r="AC80" s="256"/>
      <c r="AD80" s="256"/>
      <c r="AE80" s="256"/>
      <c r="AF80" s="256"/>
      <c r="AG80" s="256"/>
      <c r="AH80" s="256"/>
      <c r="AI80" s="256"/>
      <c r="AJ80" s="256"/>
    </row>
    <row r="81" spans="1:36" s="98" customFormat="1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157"/>
      <c r="O81" s="260"/>
      <c r="P81" s="261"/>
      <c r="Q81" s="261"/>
      <c r="R81" s="261"/>
      <c r="S81" s="264"/>
      <c r="T81" s="261"/>
      <c r="U81" s="261"/>
      <c r="V81" s="261"/>
      <c r="W81" s="261"/>
      <c r="X81" s="261"/>
      <c r="Y81" s="261"/>
      <c r="Z81" s="265"/>
      <c r="AB81" s="256"/>
      <c r="AC81" s="256"/>
      <c r="AD81" s="256"/>
      <c r="AE81" s="256"/>
      <c r="AF81" s="256"/>
      <c r="AG81" s="256"/>
      <c r="AH81" s="256"/>
      <c r="AI81" s="256"/>
      <c r="AJ81" s="256"/>
    </row>
    <row r="82" spans="1:36" s="98" customFormat="1">
      <c r="A82" s="5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157"/>
      <c r="O82" s="260"/>
      <c r="P82" s="261"/>
      <c r="Q82" s="261"/>
      <c r="R82" s="261"/>
      <c r="S82" s="264"/>
      <c r="T82" s="261"/>
      <c r="U82" s="261"/>
      <c r="V82" s="261"/>
      <c r="W82" s="261"/>
      <c r="X82" s="261"/>
      <c r="Y82" s="261"/>
      <c r="Z82" s="265"/>
      <c r="AB82" s="256"/>
      <c r="AC82" s="256"/>
      <c r="AD82" s="256"/>
      <c r="AE82" s="256"/>
      <c r="AF82" s="256"/>
      <c r="AG82" s="256"/>
      <c r="AH82" s="256"/>
      <c r="AI82" s="256"/>
      <c r="AJ82" s="256"/>
    </row>
    <row r="83" spans="1:36" s="98" customFormat="1">
      <c r="A83" s="51"/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260"/>
      <c r="P83" s="261"/>
      <c r="Q83" s="261"/>
      <c r="R83" s="261"/>
      <c r="S83" s="264"/>
      <c r="T83" s="261"/>
      <c r="U83" s="261"/>
      <c r="V83" s="261"/>
      <c r="W83" s="261"/>
      <c r="X83" s="261"/>
      <c r="Y83" s="261"/>
      <c r="Z83" s="265"/>
      <c r="AB83" s="256"/>
      <c r="AC83" s="256"/>
      <c r="AD83" s="256"/>
      <c r="AE83" s="256"/>
      <c r="AF83" s="256"/>
      <c r="AG83" s="256"/>
      <c r="AH83" s="256"/>
      <c r="AI83" s="256"/>
      <c r="AJ83" s="256"/>
    </row>
    <row r="84" spans="1:36" s="98" customFormat="1">
      <c r="A84" s="51"/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279"/>
      <c r="P84" s="261"/>
      <c r="Q84" s="261"/>
      <c r="R84" s="261"/>
      <c r="S84" s="264"/>
      <c r="T84" s="261"/>
      <c r="U84" s="261"/>
      <c r="V84" s="261"/>
      <c r="W84" s="261"/>
      <c r="X84" s="261"/>
      <c r="Y84" s="261"/>
      <c r="Z84" s="265"/>
      <c r="AB84" s="256"/>
      <c r="AC84" s="256"/>
      <c r="AD84" s="256"/>
      <c r="AE84" s="256"/>
      <c r="AF84" s="256"/>
      <c r="AG84" s="256"/>
      <c r="AH84" s="256"/>
      <c r="AI84" s="256"/>
      <c r="AJ84" s="256"/>
    </row>
    <row r="85" spans="1:36" s="98" customFormat="1">
      <c r="A85" s="51"/>
      <c r="B85" s="5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157"/>
      <c r="O85" s="279"/>
      <c r="P85" s="261"/>
      <c r="Q85" s="261"/>
      <c r="R85" s="261"/>
      <c r="S85" s="264"/>
      <c r="T85" s="261"/>
      <c r="U85" s="261"/>
      <c r="V85" s="261"/>
      <c r="W85" s="261"/>
      <c r="X85" s="261"/>
      <c r="Y85" s="261"/>
      <c r="Z85" s="265"/>
      <c r="AB85" s="256"/>
      <c r="AC85" s="256"/>
      <c r="AD85" s="256"/>
      <c r="AE85" s="256"/>
      <c r="AF85" s="256"/>
      <c r="AG85" s="256"/>
      <c r="AH85" s="256"/>
      <c r="AI85" s="256"/>
      <c r="AJ85" s="256"/>
    </row>
    <row r="86" spans="1:36" s="98" customFormat="1">
      <c r="A86" s="51"/>
      <c r="B86" s="5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157"/>
      <c r="O86" s="279"/>
      <c r="P86" s="261"/>
      <c r="Q86" s="261"/>
      <c r="R86" s="261"/>
      <c r="S86" s="264"/>
      <c r="T86" s="261"/>
      <c r="U86" s="261"/>
      <c r="V86" s="261"/>
      <c r="W86" s="261"/>
      <c r="X86" s="261"/>
      <c r="Y86" s="261"/>
      <c r="Z86" s="265"/>
      <c r="AB86" s="256"/>
      <c r="AC86" s="256"/>
      <c r="AD86" s="256"/>
      <c r="AE86" s="256"/>
      <c r="AF86" s="256"/>
      <c r="AG86" s="256"/>
      <c r="AH86" s="256"/>
      <c r="AI86" s="256"/>
      <c r="AJ86" s="256"/>
    </row>
    <row r="87" spans="1:36" s="98" customFormat="1">
      <c r="A87" s="51"/>
      <c r="B87" s="5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157"/>
      <c r="O87" s="279"/>
      <c r="P87" s="261"/>
      <c r="Q87" s="261"/>
      <c r="R87" s="261"/>
      <c r="S87" s="264"/>
      <c r="T87" s="261"/>
      <c r="U87" s="261"/>
      <c r="V87" s="261"/>
      <c r="W87" s="261"/>
      <c r="X87" s="261"/>
      <c r="Y87" s="261"/>
      <c r="Z87" s="265"/>
      <c r="AB87" s="256"/>
      <c r="AC87" s="256"/>
      <c r="AD87" s="256"/>
      <c r="AE87" s="256"/>
      <c r="AF87" s="256"/>
      <c r="AG87" s="256"/>
      <c r="AH87" s="256"/>
      <c r="AI87" s="256"/>
      <c r="AJ87" s="256"/>
    </row>
    <row r="88" spans="1:36" s="98" customFormat="1">
      <c r="A88" s="51"/>
      <c r="B88" s="5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157"/>
      <c r="O88" s="279"/>
      <c r="P88" s="261"/>
      <c r="Q88" s="261"/>
      <c r="R88" s="261"/>
      <c r="S88" s="264"/>
      <c r="T88" s="261"/>
      <c r="U88" s="261"/>
      <c r="V88" s="261"/>
      <c r="W88" s="261"/>
      <c r="X88" s="261"/>
      <c r="Y88" s="261"/>
      <c r="Z88" s="265"/>
      <c r="AB88" s="256"/>
      <c r="AC88" s="256"/>
      <c r="AD88" s="256"/>
      <c r="AE88" s="256"/>
      <c r="AF88" s="256"/>
      <c r="AG88" s="256"/>
      <c r="AH88" s="256"/>
      <c r="AI88" s="256"/>
      <c r="AJ88" s="256"/>
    </row>
    <row r="89" spans="1:36" s="98" customFormat="1">
      <c r="A89" s="51"/>
      <c r="B89" s="5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157"/>
      <c r="O89" s="279"/>
      <c r="P89" s="261"/>
      <c r="Q89" s="261"/>
      <c r="R89" s="261"/>
      <c r="S89" s="264"/>
      <c r="T89" s="261"/>
      <c r="U89" s="261"/>
      <c r="V89" s="261"/>
      <c r="W89" s="261"/>
      <c r="X89" s="261"/>
      <c r="Y89" s="261"/>
      <c r="Z89" s="265"/>
      <c r="AB89" s="256"/>
      <c r="AC89" s="256"/>
      <c r="AD89" s="256"/>
      <c r="AE89" s="256"/>
      <c r="AF89" s="256"/>
      <c r="AG89" s="256"/>
      <c r="AH89" s="256"/>
      <c r="AI89" s="256"/>
      <c r="AJ89" s="256"/>
    </row>
    <row r="90" spans="1:36" s="98" customFormat="1">
      <c r="A90" s="51"/>
      <c r="B90" s="5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157"/>
      <c r="O90" s="279"/>
      <c r="P90" s="261"/>
      <c r="Q90" s="261"/>
      <c r="R90" s="261"/>
      <c r="S90" s="264"/>
      <c r="T90" s="261"/>
      <c r="U90" s="261"/>
      <c r="V90" s="261"/>
      <c r="W90" s="261"/>
      <c r="X90" s="261"/>
      <c r="Y90" s="261"/>
      <c r="Z90" s="265"/>
      <c r="AB90" s="256"/>
      <c r="AC90" s="256"/>
      <c r="AD90" s="256"/>
      <c r="AE90" s="256"/>
      <c r="AF90" s="256"/>
      <c r="AG90" s="256"/>
      <c r="AH90" s="256"/>
      <c r="AI90" s="256"/>
      <c r="AJ90" s="256"/>
    </row>
    <row r="91" spans="1:36" s="98" customFormat="1">
      <c r="A91" s="51"/>
      <c r="B91" s="5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157"/>
      <c r="O91" s="279"/>
      <c r="P91" s="261"/>
      <c r="Q91" s="261"/>
      <c r="R91" s="261"/>
      <c r="S91" s="264"/>
      <c r="T91" s="261"/>
      <c r="U91" s="261"/>
      <c r="V91" s="261"/>
      <c r="W91" s="261"/>
      <c r="X91" s="261"/>
      <c r="Y91" s="261"/>
      <c r="Z91" s="265"/>
      <c r="AB91" s="256"/>
      <c r="AC91" s="256"/>
      <c r="AD91" s="256"/>
      <c r="AE91" s="256"/>
      <c r="AF91" s="256"/>
      <c r="AG91" s="256"/>
      <c r="AH91" s="256"/>
      <c r="AI91" s="256"/>
      <c r="AJ91" s="256"/>
    </row>
    <row r="92" spans="1:36" s="98" customFormat="1">
      <c r="A92" s="51"/>
      <c r="B92" s="5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157"/>
      <c r="O92" s="279"/>
      <c r="P92" s="261"/>
      <c r="Q92" s="261"/>
      <c r="R92" s="261"/>
      <c r="S92" s="264"/>
      <c r="T92" s="261"/>
      <c r="U92" s="261"/>
      <c r="V92" s="261"/>
      <c r="W92" s="261"/>
      <c r="X92" s="261"/>
      <c r="Y92" s="261"/>
      <c r="Z92" s="265"/>
      <c r="AB92" s="256"/>
      <c r="AC92" s="256"/>
      <c r="AD92" s="256"/>
      <c r="AE92" s="256"/>
      <c r="AF92" s="256"/>
      <c r="AG92" s="256"/>
      <c r="AH92" s="256"/>
      <c r="AI92" s="256"/>
      <c r="AJ92" s="256"/>
    </row>
    <row r="93" spans="1:36" s="98" customFormat="1">
      <c r="A93" s="51"/>
      <c r="B93" s="5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157"/>
      <c r="O93" s="279"/>
      <c r="P93" s="261"/>
      <c r="Q93" s="261"/>
      <c r="R93" s="261"/>
      <c r="S93" s="264"/>
      <c r="T93" s="261"/>
      <c r="U93" s="261"/>
      <c r="V93" s="261"/>
      <c r="W93" s="261"/>
      <c r="X93" s="261"/>
      <c r="Y93" s="261"/>
      <c r="Z93" s="265"/>
      <c r="AB93" s="256"/>
      <c r="AC93" s="256"/>
      <c r="AD93" s="256"/>
      <c r="AE93" s="256"/>
      <c r="AF93" s="256"/>
      <c r="AG93" s="256"/>
      <c r="AH93" s="256"/>
      <c r="AI93" s="256"/>
      <c r="AJ93" s="256"/>
    </row>
    <row r="94" spans="1:36" s="98" customFormat="1">
      <c r="A94" s="51"/>
      <c r="B94" s="5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157"/>
      <c r="O94" s="279"/>
      <c r="P94" s="261"/>
      <c r="Q94" s="261"/>
      <c r="R94" s="261"/>
      <c r="S94" s="264"/>
      <c r="T94" s="261"/>
      <c r="U94" s="261"/>
      <c r="V94" s="261"/>
      <c r="W94" s="261"/>
      <c r="X94" s="261"/>
      <c r="Y94" s="261"/>
      <c r="Z94" s="265"/>
      <c r="AB94" s="256"/>
      <c r="AC94" s="256"/>
      <c r="AD94" s="256"/>
      <c r="AE94" s="256"/>
      <c r="AF94" s="256"/>
      <c r="AG94" s="256"/>
      <c r="AH94" s="256"/>
      <c r="AI94" s="256"/>
      <c r="AJ94" s="256"/>
    </row>
    <row r="95" spans="1:36" s="98" customFormat="1">
      <c r="A95" s="51"/>
      <c r="B95" s="5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157"/>
      <c r="O95" s="279"/>
      <c r="P95" s="261"/>
      <c r="Q95" s="261"/>
      <c r="R95" s="261"/>
      <c r="S95" s="264"/>
      <c r="T95" s="261"/>
      <c r="U95" s="261"/>
      <c r="V95" s="261"/>
      <c r="W95" s="261"/>
      <c r="X95" s="261"/>
      <c r="Y95" s="261"/>
      <c r="Z95" s="265"/>
      <c r="AB95" s="256"/>
      <c r="AC95" s="256"/>
      <c r="AD95" s="256"/>
      <c r="AE95" s="256"/>
      <c r="AF95" s="256"/>
      <c r="AG95" s="256"/>
      <c r="AH95" s="256"/>
      <c r="AI95" s="256"/>
      <c r="AJ95" s="256"/>
    </row>
    <row r="96" spans="1:36" s="98" customFormat="1">
      <c r="A96" s="51"/>
      <c r="B96" s="5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157"/>
      <c r="O96" s="279"/>
      <c r="P96" s="261"/>
      <c r="Q96" s="261"/>
      <c r="R96" s="261"/>
      <c r="S96" s="264"/>
      <c r="T96" s="261"/>
      <c r="U96" s="261"/>
      <c r="V96" s="261"/>
      <c r="W96" s="261"/>
      <c r="X96" s="261"/>
      <c r="Y96" s="261"/>
      <c r="Z96" s="265"/>
      <c r="AB96" s="256"/>
      <c r="AC96" s="256"/>
      <c r="AD96" s="256"/>
      <c r="AE96" s="256"/>
      <c r="AF96" s="256"/>
      <c r="AG96" s="256"/>
      <c r="AH96" s="256"/>
      <c r="AI96" s="256"/>
      <c r="AJ96" s="256"/>
    </row>
    <row r="97" spans="1:36" s="98" customFormat="1">
      <c r="A97" s="51"/>
      <c r="B97" s="5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157"/>
      <c r="O97" s="279"/>
      <c r="P97" s="261"/>
      <c r="Q97" s="261"/>
      <c r="R97" s="261"/>
      <c r="S97" s="264"/>
      <c r="T97" s="261"/>
      <c r="U97" s="261"/>
      <c r="V97" s="261"/>
      <c r="W97" s="261"/>
      <c r="X97" s="261"/>
      <c r="Y97" s="261"/>
      <c r="Z97" s="265"/>
      <c r="AB97" s="256"/>
      <c r="AC97" s="256"/>
      <c r="AD97" s="256"/>
      <c r="AE97" s="256"/>
      <c r="AF97" s="256"/>
      <c r="AG97" s="256"/>
      <c r="AH97" s="256"/>
      <c r="AI97" s="256"/>
      <c r="AJ97" s="256"/>
    </row>
    <row r="98" spans="1:36" s="98" customFormat="1">
      <c r="A98" s="42"/>
      <c r="B98" s="5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157"/>
      <c r="O98" s="279"/>
      <c r="P98" s="261"/>
      <c r="Q98" s="261"/>
      <c r="R98" s="261"/>
      <c r="S98" s="264"/>
      <c r="T98" s="261"/>
      <c r="U98" s="261"/>
      <c r="V98" s="261"/>
      <c r="W98" s="261"/>
      <c r="X98" s="261"/>
      <c r="Y98" s="261"/>
      <c r="Z98" s="265"/>
      <c r="AB98" s="256"/>
      <c r="AC98" s="256"/>
      <c r="AD98" s="256"/>
      <c r="AE98" s="256"/>
      <c r="AF98" s="256"/>
      <c r="AG98" s="256"/>
      <c r="AH98" s="256"/>
      <c r="AI98" s="256"/>
      <c r="AJ98" s="256"/>
    </row>
    <row r="99" spans="1:36" s="98" customFormat="1">
      <c r="A99" s="42"/>
      <c r="B99" s="5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157"/>
      <c r="O99" s="279"/>
      <c r="P99" s="261"/>
      <c r="Q99" s="261"/>
      <c r="R99" s="261"/>
      <c r="S99" s="264"/>
      <c r="T99" s="261"/>
      <c r="U99" s="261"/>
      <c r="V99" s="261"/>
      <c r="W99" s="261"/>
      <c r="X99" s="261"/>
      <c r="Y99" s="261"/>
      <c r="Z99" s="265"/>
      <c r="AB99" s="256"/>
      <c r="AC99" s="256"/>
      <c r="AD99" s="256"/>
      <c r="AE99" s="256"/>
      <c r="AF99" s="256"/>
      <c r="AG99" s="256"/>
      <c r="AH99" s="256"/>
      <c r="AI99" s="256"/>
      <c r="AJ99" s="256"/>
    </row>
    <row r="100" spans="1:36" s="98" customFormat="1">
      <c r="A100" s="42"/>
      <c r="B100" s="5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157"/>
      <c r="O100" s="260"/>
      <c r="P100" s="261"/>
      <c r="Q100" s="261"/>
      <c r="R100" s="261"/>
      <c r="S100" s="264"/>
      <c r="T100" s="261"/>
      <c r="U100" s="261"/>
      <c r="V100" s="261"/>
      <c r="W100" s="261"/>
      <c r="X100" s="261"/>
      <c r="Y100" s="261"/>
      <c r="Z100" s="265"/>
      <c r="AB100" s="256"/>
      <c r="AC100" s="256"/>
      <c r="AD100" s="256"/>
      <c r="AE100" s="256"/>
      <c r="AF100" s="256"/>
      <c r="AG100" s="256"/>
      <c r="AH100" s="256"/>
      <c r="AI100" s="256"/>
      <c r="AJ100" s="256"/>
    </row>
    <row r="101" spans="1:36" s="98" customFormat="1">
      <c r="A101" s="42"/>
      <c r="B101" s="5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157"/>
      <c r="O101" s="260"/>
      <c r="P101" s="261"/>
      <c r="Q101" s="261"/>
      <c r="R101" s="261"/>
      <c r="S101" s="264"/>
      <c r="T101" s="261"/>
      <c r="U101" s="261"/>
      <c r="V101" s="261"/>
      <c r="W101" s="261"/>
      <c r="X101" s="261"/>
      <c r="Y101" s="261"/>
      <c r="Z101" s="265"/>
      <c r="AB101" s="256"/>
      <c r="AC101" s="256"/>
      <c r="AD101" s="256"/>
      <c r="AE101" s="256"/>
      <c r="AF101" s="256"/>
      <c r="AG101" s="256"/>
      <c r="AH101" s="256"/>
      <c r="AI101" s="256"/>
      <c r="AJ101" s="256"/>
    </row>
  </sheetData>
  <sheetProtection sheet="1" objects="1" scenarios="1"/>
  <mergeCells count="5">
    <mergeCell ref="F2:L2"/>
    <mergeCell ref="U27:V27"/>
    <mergeCell ref="B83:N83"/>
    <mergeCell ref="B84:N84"/>
    <mergeCell ref="G6:L6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A456-8930-4B17-B3E9-F47EF754F1D7}">
  <sheetPr codeName="Sheet29"/>
  <dimension ref="A1:C6"/>
  <sheetViews>
    <sheetView workbookViewId="0">
      <selection activeCell="C11" sqref="C11"/>
    </sheetView>
  </sheetViews>
  <sheetFormatPr defaultRowHeight="12.75"/>
  <cols>
    <col min="1" max="1" width="8.85546875" bestFit="1" customWidth="1"/>
    <col min="2" max="2" width="11.42578125" bestFit="1" customWidth="1"/>
    <col min="3" max="3" width="41.5703125" bestFit="1" customWidth="1"/>
  </cols>
  <sheetData>
    <row r="1" spans="1:3">
      <c r="A1" s="109">
        <v>43805</v>
      </c>
      <c r="B1" s="110" t="s">
        <v>196</v>
      </c>
      <c r="C1" s="110" t="s">
        <v>197</v>
      </c>
    </row>
    <row r="2" spans="1:3">
      <c r="C2" s="117" t="s">
        <v>199</v>
      </c>
    </row>
    <row r="3" spans="1:3">
      <c r="C3" s="117" t="s">
        <v>200</v>
      </c>
    </row>
    <row r="4" spans="1:3">
      <c r="C4" s="110" t="s">
        <v>201</v>
      </c>
    </row>
    <row r="5" spans="1:3">
      <c r="C5" s="110" t="s">
        <v>202</v>
      </c>
    </row>
    <row r="6" spans="1:3">
      <c r="C6" s="110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R106"/>
  <sheetViews>
    <sheetView workbookViewId="0">
      <selection activeCell="C10" sqref="C10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8554687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8.42578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74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32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3" t="s">
        <v>18</v>
      </c>
      <c r="H6" s="34">
        <f>'January 1, 2008'!H6*1.03</f>
        <v>1729.1846</v>
      </c>
      <c r="I6" s="34">
        <f>'January 1, 2008'!I6*1.03</f>
        <v>1845.8836000000001</v>
      </c>
      <c r="J6" s="34">
        <f>'January 1, 2008'!J6*1.03</f>
        <v>1972.1307000000002</v>
      </c>
      <c r="K6" s="34">
        <f>'January 1, 2008'!K6*1.03</f>
        <v>2106.8650000000002</v>
      </c>
      <c r="L6" s="34">
        <f>'January 1, 2008'!L6*1.03</f>
        <v>2250.0865000000003</v>
      </c>
      <c r="M6" s="34">
        <f>'January 1, 2008'!M6*1.03</f>
        <v>2386.4306153888601</v>
      </c>
    </row>
    <row r="7" spans="1:14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3" t="s">
        <v>18</v>
      </c>
      <c r="H7" s="34">
        <f>'January 1, 2008'!H7*1.03</f>
        <v>1729.1846</v>
      </c>
      <c r="I7" s="34">
        <f>'January 1, 2008'!I7*1.03</f>
        <v>1845.8836000000001</v>
      </c>
      <c r="J7" s="34">
        <f>'January 1, 2008'!J7*1.03</f>
        <v>1972.1307000000002</v>
      </c>
      <c r="K7" s="34">
        <f>'January 1, 2008'!K7*1.03</f>
        <v>2106.8650000000002</v>
      </c>
      <c r="L7" s="34">
        <f>'January 1, 2008'!L7*1.03</f>
        <v>2250.0865000000003</v>
      </c>
      <c r="M7" s="34">
        <f>'January 1, 2008'!M7*1.03</f>
        <v>2386.4306153888601</v>
      </c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3" t="s">
        <v>18</v>
      </c>
      <c r="H8" s="34">
        <f>'January 1, 2008'!H8*1.03</f>
        <v>1729.1846</v>
      </c>
      <c r="I8" s="34">
        <f>'January 1, 2008'!I8*1.03</f>
        <v>1845.8836000000001</v>
      </c>
      <c r="J8" s="34">
        <f>'January 1, 2008'!J8*1.03</f>
        <v>1972.1307000000002</v>
      </c>
      <c r="K8" s="34">
        <f>'January 1, 2008'!K8*1.03</f>
        <v>2106.8650000000002</v>
      </c>
      <c r="L8" s="34">
        <f>'January 1, 2008'!L8*1.03</f>
        <v>2250.0865000000003</v>
      </c>
      <c r="M8" s="34">
        <f>'January 1, 2008'!M8*1.03</f>
        <v>2386.4306153888601</v>
      </c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3" t="s">
        <v>18</v>
      </c>
      <c r="H9" s="34">
        <f>'January 1, 2008'!H9*1.03</f>
        <v>2431.5003999999999</v>
      </c>
      <c r="I9" s="34">
        <f>'January 1, 2008'!I9*1.03</f>
        <v>2526.9814000000001</v>
      </c>
      <c r="J9" s="34">
        <f>'January 1, 2008'!J9*1.03</f>
        <v>2680.5132802550247</v>
      </c>
      <c r="K9" s="6"/>
      <c r="L9" s="6"/>
      <c r="M9" s="6"/>
    </row>
    <row r="10" spans="1:14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3" t="s">
        <v>18</v>
      </c>
      <c r="H10" s="34">
        <f>'January 1, 2008'!H10*1.03</f>
        <v>2431.5003999999999</v>
      </c>
      <c r="I10" s="34">
        <f>'January 1, 2008'!I10*1.03</f>
        <v>2526.9814000000001</v>
      </c>
      <c r="J10" s="34">
        <f>'January 1, 2008'!J10*1.03</f>
        <v>2680.5132802550247</v>
      </c>
      <c r="K10" s="6"/>
      <c r="L10" s="6"/>
      <c r="M10" s="6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3" t="s">
        <v>18</v>
      </c>
      <c r="H11" s="34">
        <f>'January 1, 2008'!H11*1.03</f>
        <v>2431.5003999999999</v>
      </c>
      <c r="I11" s="34">
        <f>'January 1, 2008'!I11*1.03</f>
        <v>2526.9814000000001</v>
      </c>
      <c r="J11" s="34">
        <f>'January 1, 2008'!J11*1.03</f>
        <v>2680.5132802550247</v>
      </c>
      <c r="K11" s="6"/>
      <c r="L11" s="6"/>
      <c r="M11" s="6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3" t="s">
        <v>18</v>
      </c>
      <c r="H12" s="34">
        <f>'January 1, 2008'!H12*1.03</f>
        <v>2756.1358</v>
      </c>
      <c r="I12" s="34">
        <f>'January 1, 2008'!I12*1.03</f>
        <v>2865.4085000000005</v>
      </c>
      <c r="J12" s="34">
        <f>'January 1, 2008'!J12*1.03</f>
        <v>3040.7916741132049</v>
      </c>
      <c r="K12" s="6"/>
      <c r="L12" s="6"/>
      <c r="M12" s="6"/>
    </row>
    <row r="13" spans="1:14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3" t="s">
        <v>18</v>
      </c>
      <c r="H13" s="34">
        <f>'January 1, 2008'!H13*1.03</f>
        <v>2756.1358</v>
      </c>
      <c r="I13" s="34">
        <f>'January 1, 2008'!I13*1.03</f>
        <v>2865.4085000000005</v>
      </c>
      <c r="J13" s="34">
        <f>'January 1, 2008'!J13*1.03</f>
        <v>3040.7916741132049</v>
      </c>
      <c r="K13" s="6"/>
      <c r="L13" s="6"/>
      <c r="M13" s="6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3" t="s">
        <v>18</v>
      </c>
      <c r="H14" s="34">
        <f>'January 1, 2008'!H14*1.03</f>
        <v>2756.1358</v>
      </c>
      <c r="I14" s="34">
        <f>'January 1, 2008'!I14*1.03</f>
        <v>2865.4085000000005</v>
      </c>
      <c r="J14" s="34">
        <f>'January 1, 2008'!J14*1.03</f>
        <v>3040.7916741132049</v>
      </c>
      <c r="K14" s="6"/>
      <c r="L14" s="6"/>
      <c r="M14" s="6"/>
    </row>
    <row r="15" spans="1:14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3" t="s">
        <v>18</v>
      </c>
      <c r="H15" s="34">
        <f>'January 1, 2008'!H15*1.03</f>
        <v>2756.1358</v>
      </c>
      <c r="I15" s="34">
        <f>'January 1, 2008'!I15*1.03</f>
        <v>2865.4085000000005</v>
      </c>
      <c r="J15" s="34">
        <f>'January 1, 2008'!J15*1.03</f>
        <v>3040.7916741132049</v>
      </c>
      <c r="K15" s="6"/>
      <c r="L15" s="6"/>
      <c r="M15" s="6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3" t="s">
        <v>18</v>
      </c>
      <c r="H16" s="34">
        <f>'January 1, 2008'!H16*1.03</f>
        <v>2756.1358</v>
      </c>
      <c r="I16" s="34">
        <f>'January 1, 2008'!I16*1.03</f>
        <v>2865.4085000000005</v>
      </c>
      <c r="J16" s="34">
        <f>'January 1, 2008'!J16*1.03</f>
        <v>3040.7916741132049</v>
      </c>
      <c r="K16" s="6"/>
      <c r="L16" s="6"/>
      <c r="M16" s="6"/>
    </row>
    <row r="17" spans="1:18" ht="39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3" t="s">
        <v>18</v>
      </c>
      <c r="H17" s="34">
        <f>'January 1, 2008'!H17*1.03</f>
        <v>2774.1711</v>
      </c>
      <c r="I17" s="34">
        <f>'January 1, 2008'!I17*1.03</f>
        <v>2820.8507</v>
      </c>
      <c r="J17" s="34">
        <f>'January 1, 2008'!J17*1.03</f>
        <v>2868.5911999999998</v>
      </c>
      <c r="K17" s="34">
        <f>'January 1, 2008'!K17*1.03</f>
        <v>2917.3926000000001</v>
      </c>
      <c r="L17" s="34">
        <f>'January 1, 2008'!L17*1.03</f>
        <v>2966.1940000000004</v>
      </c>
      <c r="M17" s="34">
        <f>'January 1, 2008'!M17*1.03</f>
        <v>3147.1389108544745</v>
      </c>
    </row>
    <row r="18" spans="1:18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3" t="s">
        <v>18</v>
      </c>
      <c r="H18" s="34">
        <f>'January 1, 2008'!H18*1.03</f>
        <v>2774.1711</v>
      </c>
      <c r="I18" s="34">
        <f>'January 1, 2008'!I18*1.03</f>
        <v>2820.8507</v>
      </c>
      <c r="J18" s="34">
        <f>'January 1, 2008'!J18*1.03</f>
        <v>2868.5911999999998</v>
      </c>
      <c r="K18" s="34">
        <f>'January 1, 2008'!K18*1.03</f>
        <v>2917.3926000000001</v>
      </c>
      <c r="L18" s="34">
        <f>'January 1, 2008'!L18*1.03</f>
        <v>2966.1940000000004</v>
      </c>
      <c r="M18" s="34">
        <f>'January 1, 2008'!M18*1.03</f>
        <v>3147.1389108544745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'January 1, 2008'!C21*1.03</f>
        <v>0.77047487843164997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'January 1, 2008'!C22*1.03</f>
        <v>0.33640452438564999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'January 1, 2008'!A33*1.03</f>
        <v>13.2825528338076</v>
      </c>
      <c r="B33" s="327" t="s">
        <v>54</v>
      </c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R33" s="25"/>
    </row>
    <row r="34" spans="1:18">
      <c r="A34" s="14">
        <f>'January 1, 2008'!A34*1.03</f>
        <v>18.8386533655964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'January 1, 2008'!A35*1.03</f>
        <v>24.394753897385201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'January 1, 2008'!A36*1.03</f>
        <v>29.950854429174001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2008'!A37*1.03</f>
        <v>35.506954960962801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2008'!A38*1.03</f>
        <v>107.31304327902234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'January 1, 2008'!A39*1.03</f>
        <v>113.34662120026177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'January 1, 2008'!A40*1.03</f>
        <v>119.36934736265002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'January 1, 2008'!A41*1.03</f>
        <v>156.13510635034621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'January 1, 2008'!A42*1.03</f>
        <v>162.15783251273444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'January 1, 2008'!A43*1.03</f>
        <v>168.19141043397386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'January 1, 2008'!A44*1.03</f>
        <v>174.22498835521327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'January 1, 2008'!A45*1.03</f>
        <v>191.32736030462564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'January 1, 2008'!A46*1.03</f>
        <v>240.37731031182363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'January 1, 2008'!A47*1.03</f>
        <v>246.41088823306305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'January 1, 2008'!A48*1.03</f>
        <v>252.44446615430243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'January 1, 2008'!A49*1.03</f>
        <v>258.47804407554185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'January 1, 2008'!A50*1.03</f>
        <v>264.51162199678129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'January 1, 2008'!A51*1.03</f>
        <v>288.97148644727338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>
      <c r="A60" s="1"/>
    </row>
    <row r="61" spans="1:18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>
      <c r="A85" s="1"/>
    </row>
    <row r="86" spans="1:15">
      <c r="A86" s="22"/>
      <c r="B86" s="23"/>
    </row>
    <row r="87" spans="1:15">
      <c r="A87" s="25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</row>
    <row r="88" spans="1:15">
      <c r="A88" s="25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sheetProtection password="E3B7" sheet="1" objects="1" scenarios="1"/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/>
  <dimension ref="C7:M13"/>
  <sheetViews>
    <sheetView workbookViewId="0">
      <selection activeCell="D27" sqref="D27"/>
    </sheetView>
  </sheetViews>
  <sheetFormatPr defaultColWidth="8.85546875" defaultRowHeight="15"/>
  <cols>
    <col min="1" max="2" width="8.85546875" style="96"/>
    <col min="3" max="3" width="19.140625" style="97" customWidth="1"/>
    <col min="4" max="6" width="7.5703125" style="97" customWidth="1"/>
    <col min="7" max="7" width="13.42578125" style="97" customWidth="1"/>
    <col min="8" max="8" width="9.5703125" style="97" customWidth="1"/>
    <col min="9" max="9" width="18.140625" style="97" customWidth="1"/>
    <col min="10" max="10" width="19.140625" style="97" customWidth="1"/>
    <col min="11" max="11" width="8.85546875" style="97"/>
    <col min="12" max="12" width="18.85546875" style="97" customWidth="1"/>
    <col min="13" max="13" width="23" style="97" customWidth="1"/>
    <col min="14" max="16384" width="8.85546875" style="96"/>
  </cols>
  <sheetData>
    <row r="7" spans="3:9" ht="58.35" customHeight="1">
      <c r="C7" s="99" t="s">
        <v>189</v>
      </c>
      <c r="D7" s="350" t="s">
        <v>190</v>
      </c>
      <c r="E7" s="350"/>
      <c r="F7" s="350"/>
      <c r="G7" s="100" t="s">
        <v>193</v>
      </c>
      <c r="H7" s="100" t="s">
        <v>191</v>
      </c>
      <c r="I7" s="101" t="s">
        <v>194</v>
      </c>
    </row>
    <row r="8" spans="3:9">
      <c r="C8" s="102">
        <v>293.64665696221425</v>
      </c>
      <c r="D8" s="349" t="s">
        <v>175</v>
      </c>
      <c r="E8" s="349"/>
      <c r="F8" s="349"/>
      <c r="G8" s="103">
        <v>43.79</v>
      </c>
      <c r="H8" s="104">
        <v>1.0249999999999999</v>
      </c>
      <c r="I8" s="103">
        <f t="shared" ref="I8:I13" si="0">(C8+G8)*H8</f>
        <v>345.87257338626961</v>
      </c>
    </row>
    <row r="9" spans="3:9">
      <c r="C9" s="102">
        <v>300.83684242356941</v>
      </c>
      <c r="D9" s="349" t="s">
        <v>176</v>
      </c>
      <c r="E9" s="349"/>
      <c r="F9" s="349"/>
      <c r="G9" s="103">
        <v>43.79</v>
      </c>
      <c r="H9" s="104">
        <v>1.0249999999999999</v>
      </c>
      <c r="I9" s="103">
        <f t="shared" si="0"/>
        <v>353.24251348415862</v>
      </c>
    </row>
    <row r="10" spans="3:9">
      <c r="C10" s="102">
        <v>308.02702788492456</v>
      </c>
      <c r="D10" s="349" t="s">
        <v>177</v>
      </c>
      <c r="E10" s="349"/>
      <c r="F10" s="349"/>
      <c r="G10" s="103">
        <v>43.79</v>
      </c>
      <c r="H10" s="104">
        <v>1.0249999999999999</v>
      </c>
      <c r="I10" s="103">
        <f t="shared" si="0"/>
        <v>360.61245358204769</v>
      </c>
    </row>
    <row r="11" spans="3:9">
      <c r="C11" s="102">
        <v>315.21721334627983</v>
      </c>
      <c r="D11" s="349" t="s">
        <v>178</v>
      </c>
      <c r="E11" s="349"/>
      <c r="F11" s="349"/>
      <c r="G11" s="103">
        <v>43.79</v>
      </c>
      <c r="H11" s="104">
        <v>1.0249999999999999</v>
      </c>
      <c r="I11" s="103">
        <f t="shared" si="0"/>
        <v>367.98239367993682</v>
      </c>
    </row>
    <row r="12" spans="3:9">
      <c r="C12" s="102">
        <v>344.36591483889583</v>
      </c>
      <c r="D12" s="349" t="s">
        <v>179</v>
      </c>
      <c r="E12" s="349"/>
      <c r="F12" s="349"/>
      <c r="G12" s="103">
        <v>43.79</v>
      </c>
      <c r="H12" s="104">
        <v>1.0249999999999999</v>
      </c>
      <c r="I12" s="103">
        <f t="shared" si="0"/>
        <v>397.85981270986821</v>
      </c>
    </row>
    <row r="13" spans="3:9">
      <c r="C13" s="102">
        <f>344.365914838896</f>
        <v>344.365914838896</v>
      </c>
      <c r="D13" s="349" t="s">
        <v>192</v>
      </c>
      <c r="E13" s="349"/>
      <c r="F13" s="349"/>
      <c r="G13" s="103">
        <v>100.25</v>
      </c>
      <c r="H13" s="104">
        <v>1.0249999999999999</v>
      </c>
      <c r="I13" s="103">
        <f t="shared" si="0"/>
        <v>455.73131270986835</v>
      </c>
    </row>
  </sheetData>
  <mergeCells count="7">
    <mergeCell ref="D12:F12"/>
    <mergeCell ref="D13:F13"/>
    <mergeCell ref="D7:F7"/>
    <mergeCell ref="D8:F8"/>
    <mergeCell ref="D9:F9"/>
    <mergeCell ref="D10:F10"/>
    <mergeCell ref="D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R106"/>
  <sheetViews>
    <sheetView workbookViewId="0">
      <selection activeCell="C10" sqref="C10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8554687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8.42578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75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/>
      <c r="M5" s="5"/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4">
        <f>'January 1, 2008'!I6*1.03</f>
        <v>1845.8836000000001</v>
      </c>
      <c r="H6" s="34">
        <f>'January 1, 2008'!J6*1.03</f>
        <v>1972.1307000000002</v>
      </c>
      <c r="I6" s="34">
        <f>'January 1, 2008'!K6*1.03</f>
        <v>2106.8650000000002</v>
      </c>
      <c r="J6" s="34">
        <f>'January 1, 2008'!L6*1.03</f>
        <v>2250.0865000000003</v>
      </c>
      <c r="K6" s="34">
        <f>'January 1, 2008'!M6*1.03</f>
        <v>2386.4306153888601</v>
      </c>
    </row>
    <row r="7" spans="1:14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4">
        <f>'January 1, 2008'!I7*1.03</f>
        <v>1845.8836000000001</v>
      </c>
      <c r="H7" s="34">
        <f>'January 1, 2008'!J7*1.03</f>
        <v>1972.1307000000002</v>
      </c>
      <c r="I7" s="34">
        <f>'January 1, 2008'!K7*1.03</f>
        <v>2106.8650000000002</v>
      </c>
      <c r="J7" s="34">
        <f>'January 1, 2008'!L7*1.03</f>
        <v>2250.0865000000003</v>
      </c>
      <c r="K7" s="34">
        <f>'January 1, 2008'!M7*1.03</f>
        <v>2386.4306153888601</v>
      </c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4">
        <f>'January 1, 2008'!I8*1.03</f>
        <v>1845.8836000000001</v>
      </c>
      <c r="H8" s="34">
        <f>'January 1, 2008'!J8*1.03</f>
        <v>1972.1307000000002</v>
      </c>
      <c r="I8" s="34">
        <f>'January 1, 2008'!K8*1.03</f>
        <v>2106.8650000000002</v>
      </c>
      <c r="J8" s="34">
        <f>'January 1, 2008'!L8*1.03</f>
        <v>2250.0865000000003</v>
      </c>
      <c r="K8" s="34">
        <f>'January 1, 2008'!M8*1.03</f>
        <v>2386.4306153888601</v>
      </c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4">
        <f>'January 1, 2008'!H9*1.03</f>
        <v>2431.5003999999999</v>
      </c>
      <c r="H9" s="34">
        <f>'January 1, 2008'!I9*1.03</f>
        <v>2526.9814000000001</v>
      </c>
      <c r="I9" s="34">
        <f>'January 1, 2008'!J9*1.03</f>
        <v>2680.5132802550247</v>
      </c>
      <c r="J9" s="6"/>
      <c r="K9" s="6"/>
      <c r="L9" s="6"/>
    </row>
    <row r="10" spans="1:14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4">
        <f>'January 1, 2008'!H10*1.03</f>
        <v>2431.5003999999999</v>
      </c>
      <c r="H10" s="34">
        <f>'January 1, 2008'!I10*1.03</f>
        <v>2526.9814000000001</v>
      </c>
      <c r="I10" s="34">
        <f>'January 1, 2008'!J10*1.03</f>
        <v>2680.5132802550247</v>
      </c>
      <c r="J10" s="6"/>
      <c r="K10" s="6"/>
      <c r="L10" s="6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4">
        <f>'January 1, 2008'!H11*1.03</f>
        <v>2431.5003999999999</v>
      </c>
      <c r="H11" s="34">
        <f>'January 1, 2008'!I11*1.03</f>
        <v>2526.9814000000001</v>
      </c>
      <c r="I11" s="34">
        <f>'January 1, 2008'!J11*1.03</f>
        <v>2680.5132802550247</v>
      </c>
      <c r="J11" s="6"/>
      <c r="K11" s="6"/>
      <c r="L11" s="6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4">
        <f>'January 1, 2008'!H12*1.03</f>
        <v>2756.1358</v>
      </c>
      <c r="H12" s="34">
        <f>'January 1, 2008'!I12*1.03</f>
        <v>2865.4085000000005</v>
      </c>
      <c r="I12" s="34">
        <f>'January 1, 2008'!J12*1.03</f>
        <v>3040.7916741132049</v>
      </c>
      <c r="J12" s="6"/>
      <c r="K12" s="6"/>
      <c r="L12" s="6"/>
    </row>
    <row r="13" spans="1:14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4">
        <f>'January 1, 2008'!H13*1.03</f>
        <v>2756.1358</v>
      </c>
      <c r="H13" s="34">
        <f>'January 1, 2008'!I13*1.03</f>
        <v>2865.4085000000005</v>
      </c>
      <c r="I13" s="34">
        <f>'January 1, 2008'!J13*1.03</f>
        <v>3040.7916741132049</v>
      </c>
      <c r="J13" s="6"/>
      <c r="K13" s="6"/>
      <c r="L13" s="6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4">
        <f>'January 1, 2008'!H14*1.03</f>
        <v>2756.1358</v>
      </c>
      <c r="H14" s="34">
        <f>'January 1, 2008'!I14*1.03</f>
        <v>2865.4085000000005</v>
      </c>
      <c r="I14" s="34">
        <f>'January 1, 2008'!J14*1.03</f>
        <v>3040.7916741132049</v>
      </c>
      <c r="J14" s="6"/>
      <c r="K14" s="6"/>
      <c r="L14" s="6"/>
    </row>
    <row r="15" spans="1:14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4">
        <f>'January 1, 2008'!H15*1.03</f>
        <v>2756.1358</v>
      </c>
      <c r="H15" s="34">
        <f>'January 1, 2008'!I15*1.03</f>
        <v>2865.4085000000005</v>
      </c>
      <c r="I15" s="34">
        <f>'January 1, 2008'!J15*1.03</f>
        <v>3040.7916741132049</v>
      </c>
      <c r="J15" s="6"/>
      <c r="K15" s="6"/>
      <c r="L15" s="6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4">
        <f>'January 1, 2008'!H16*1.03</f>
        <v>2756.1358</v>
      </c>
      <c r="H16" s="34">
        <f>'January 1, 2008'!I16*1.03</f>
        <v>2865.4085000000005</v>
      </c>
      <c r="I16" s="34">
        <f>'January 1, 2008'!J16*1.03</f>
        <v>3040.7916741132049</v>
      </c>
      <c r="J16" s="6"/>
      <c r="K16" s="6"/>
      <c r="L16" s="6"/>
    </row>
    <row r="17" spans="1:18" ht="39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4">
        <f>'January 1, 2008'!I17*1.03</f>
        <v>2820.8507</v>
      </c>
      <c r="H17" s="34">
        <f>'January 1, 2008'!J17*1.03</f>
        <v>2868.5911999999998</v>
      </c>
      <c r="I17" s="34">
        <f>'January 1, 2008'!K17*1.03</f>
        <v>2917.3926000000001</v>
      </c>
      <c r="J17" s="34">
        <f>'January 1, 2008'!L17*1.03</f>
        <v>2966.1940000000004</v>
      </c>
      <c r="K17" s="34">
        <f>'January 1, 2008'!M17*1.03</f>
        <v>3147.1389108544745</v>
      </c>
    </row>
    <row r="18" spans="1:18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4">
        <f>'January 1, 2008'!I18*1.03</f>
        <v>2820.8507</v>
      </c>
      <c r="H18" s="34">
        <f>'January 1, 2008'!J18*1.03</f>
        <v>2868.5911999999998</v>
      </c>
      <c r="I18" s="34">
        <f>'January 1, 2008'!K18*1.03</f>
        <v>2917.3926000000001</v>
      </c>
      <c r="J18" s="34">
        <f>'January 1, 2008'!L18*1.03</f>
        <v>2966.1940000000004</v>
      </c>
      <c r="K18" s="34">
        <f>'January 1, 2008'!M18*1.03</f>
        <v>3147.1389108544745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'January 1, 2008'!C21*1.03</f>
        <v>0.77047487843164997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'January 1, 2008'!C22*1.03</f>
        <v>0.33640452438564999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'January 1, 2008'!A33*1.03</f>
        <v>13.2825528338076</v>
      </c>
      <c r="B33" s="327" t="s">
        <v>54</v>
      </c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R33" s="25"/>
    </row>
    <row r="34" spans="1:18">
      <c r="A34" s="14">
        <f>'January 1, 2008'!A34*1.03</f>
        <v>18.8386533655964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'January 1, 2008'!A35*1.03</f>
        <v>24.394753897385201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'January 1, 2008'!A36*1.03</f>
        <v>29.950854429174001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2008'!A37*1.03</f>
        <v>35.506954960962801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2008'!A38*1.03</f>
        <v>107.31304327902234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'January 1, 2008'!A39*1.03</f>
        <v>113.34662120026177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'January 1, 2008'!A40*1.03</f>
        <v>119.36934736265002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'January 1, 2008'!A41*1.03</f>
        <v>156.13510635034621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'January 1, 2008'!A42*1.03</f>
        <v>162.15783251273444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'January 1, 2008'!A43*1.03</f>
        <v>168.19141043397386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'January 1, 2008'!A44*1.03</f>
        <v>174.22498835521327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'January 1, 2008'!A45*1.03</f>
        <v>191.32736030462564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'January 1, 2008'!A46*1.03</f>
        <v>240.37731031182363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'January 1, 2008'!A47*1.03</f>
        <v>246.41088823306305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'January 1, 2008'!A48*1.03</f>
        <v>252.44446615430243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'January 1, 2008'!A49*1.03</f>
        <v>258.47804407554185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'January 1, 2008'!A50*1.03</f>
        <v>264.51162199678129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'January 1, 2008'!A51*1.03</f>
        <v>288.97148644727338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>
      <c r="A60" s="1"/>
    </row>
    <row r="61" spans="1:18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>
      <c r="A85" s="1"/>
    </row>
    <row r="86" spans="1:15">
      <c r="A86" s="22"/>
      <c r="B86" s="23"/>
    </row>
    <row r="87" spans="1:15">
      <c r="A87" s="25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</row>
    <row r="88" spans="1:15">
      <c r="A88" s="25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sheetProtection password="E3B7" sheet="1" objects="1" scenarios="1"/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R106"/>
  <sheetViews>
    <sheetView workbookViewId="0">
      <selection activeCell="A3" sqref="A3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8554687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6.5703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78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/>
      <c r="M5" s="5"/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4">
        <f>'December 31, 2008'!G6*1.03</f>
        <v>1901.2601080000002</v>
      </c>
      <c r="H6" s="34">
        <f>'December 31, 2008'!H6*1.03</f>
        <v>2031.2946210000002</v>
      </c>
      <c r="I6" s="34">
        <f>'December 31, 2008'!I6*1.03</f>
        <v>2170.0709500000003</v>
      </c>
      <c r="J6" s="34">
        <f>'December 31, 2008'!J6*1.03</f>
        <v>2317.5890950000003</v>
      </c>
      <c r="K6" s="34">
        <f>'December 31, 2008'!K6*1.03</f>
        <v>2458.0235338505258</v>
      </c>
      <c r="L6" s="34"/>
    </row>
    <row r="7" spans="1:14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4">
        <f>'December 31, 2008'!G7*1.03</f>
        <v>1901.2601080000002</v>
      </c>
      <c r="H7" s="34">
        <f>'December 31, 2008'!H7*1.03</f>
        <v>2031.2946210000002</v>
      </c>
      <c r="I7" s="34">
        <f>'December 31, 2008'!I7*1.03</f>
        <v>2170.0709500000003</v>
      </c>
      <c r="J7" s="34">
        <f>'December 31, 2008'!J7*1.03</f>
        <v>2317.5890950000003</v>
      </c>
      <c r="K7" s="34">
        <f>'December 31, 2008'!K7*1.03</f>
        <v>2458.0235338505258</v>
      </c>
      <c r="L7" s="34"/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4">
        <f>'December 31, 2008'!G8*1.03</f>
        <v>1901.2601080000002</v>
      </c>
      <c r="H8" s="34">
        <f>'December 31, 2008'!H8*1.03</f>
        <v>2031.2946210000002</v>
      </c>
      <c r="I8" s="34">
        <f>'December 31, 2008'!I8*1.03</f>
        <v>2170.0709500000003</v>
      </c>
      <c r="J8" s="34">
        <f>'December 31, 2008'!J8*1.03</f>
        <v>2317.5890950000003</v>
      </c>
      <c r="K8" s="34">
        <f>'December 31, 2008'!K8*1.03</f>
        <v>2458.0235338505258</v>
      </c>
      <c r="L8" s="34"/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4">
        <f>'December 31, 2008'!G9*1.03</f>
        <v>2504.445412</v>
      </c>
      <c r="H9" s="34">
        <f>'December 31, 2008'!H9*1.03</f>
        <v>2602.7908420000003</v>
      </c>
      <c r="I9" s="34">
        <f>'December 31, 2008'!I9*1.03</f>
        <v>2760.9286786626753</v>
      </c>
      <c r="J9" s="34"/>
      <c r="K9" s="34"/>
      <c r="L9" s="34"/>
    </row>
    <row r="10" spans="1:14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4">
        <f>'December 31, 2008'!G10*1.03</f>
        <v>2504.445412</v>
      </c>
      <c r="H10" s="34">
        <f>'December 31, 2008'!H10*1.03</f>
        <v>2602.7908420000003</v>
      </c>
      <c r="I10" s="34">
        <f>'December 31, 2008'!I10*1.03</f>
        <v>2760.9286786626753</v>
      </c>
      <c r="J10" s="34"/>
      <c r="K10" s="34"/>
      <c r="L10" s="34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4">
        <f>'December 31, 2008'!G11*1.03</f>
        <v>2504.445412</v>
      </c>
      <c r="H11" s="34">
        <f>'December 31, 2008'!H11*1.03</f>
        <v>2602.7908420000003</v>
      </c>
      <c r="I11" s="34">
        <f>'December 31, 2008'!I11*1.03</f>
        <v>2760.9286786626753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4">
        <f>'December 31, 2008'!G12*1.03</f>
        <v>2838.8198740000003</v>
      </c>
      <c r="H12" s="34">
        <f>'December 31, 2008'!H12*1.03</f>
        <v>2951.3707550000004</v>
      </c>
      <c r="I12" s="34">
        <f>'December 31, 2008'!I12*1.03</f>
        <v>3132.015424336601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4">
        <f>'December 31, 2008'!G13*1.03</f>
        <v>2838.8198740000003</v>
      </c>
      <c r="H13" s="34">
        <f>'December 31, 2008'!H13*1.03</f>
        <v>2951.3707550000004</v>
      </c>
      <c r="I13" s="34">
        <f>'December 31, 2008'!I13*1.03</f>
        <v>3132.015424336601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4">
        <f>'December 31, 2008'!G14*1.03</f>
        <v>2838.8198740000003</v>
      </c>
      <c r="H14" s="34">
        <f>'December 31, 2008'!H14*1.03</f>
        <v>2951.3707550000004</v>
      </c>
      <c r="I14" s="34">
        <f>'December 31, 2008'!I14*1.03</f>
        <v>3132.015424336601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4">
        <f>'December 31, 2008'!G15*1.03</f>
        <v>2838.8198740000003</v>
      </c>
      <c r="H15" s="34">
        <f>'December 31, 2008'!H15*1.03</f>
        <v>2951.3707550000004</v>
      </c>
      <c r="I15" s="34">
        <f>'December 31, 2008'!I15*1.03</f>
        <v>3132.015424336601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4">
        <f>'December 31, 2008'!G16*1.03</f>
        <v>2838.8198740000003</v>
      </c>
      <c r="H16" s="34">
        <f>'December 31, 2008'!H16*1.03</f>
        <v>2951.3707550000004</v>
      </c>
      <c r="I16" s="34">
        <f>'December 31, 2008'!I16*1.03</f>
        <v>3132.015424336601</v>
      </c>
      <c r="J16" s="34"/>
      <c r="K16" s="34"/>
      <c r="L16" s="34"/>
    </row>
    <row r="17" spans="1:18" ht="39.75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4">
        <f>'December 31, 2008'!G17*1.03</f>
        <v>2905.4762209999999</v>
      </c>
      <c r="H17" s="34">
        <f>'December 31, 2008'!H17*1.03</f>
        <v>2954.648936</v>
      </c>
      <c r="I17" s="34">
        <f>'December 31, 2008'!I17*1.03</f>
        <v>3004.9143780000004</v>
      </c>
      <c r="J17" s="34">
        <f>'December 31, 2008'!J17*1.03</f>
        <v>3055.1798200000003</v>
      </c>
      <c r="K17" s="34">
        <f>'December 31, 2008'!K17*1.03</f>
        <v>3241.553078180109</v>
      </c>
      <c r="L17" s="34"/>
    </row>
    <row r="18" spans="1:18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4">
        <f>'December 31, 2008'!G18*1.03</f>
        <v>2905.4762209999999</v>
      </c>
      <c r="H18" s="34">
        <f>'December 31, 2008'!H18*1.03</f>
        <v>2954.648936</v>
      </c>
      <c r="I18" s="34">
        <f>'December 31, 2008'!I18*1.03</f>
        <v>3004.9143780000004</v>
      </c>
      <c r="J18" s="34">
        <f>'December 31, 2008'!J18*1.03</f>
        <v>3055.1798200000003</v>
      </c>
      <c r="K18" s="34">
        <f>'December 31, 2008'!K18*1.03</f>
        <v>3241.553078180109</v>
      </c>
      <c r="L18" s="34"/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'October 26, 2008'!C21*1.03</f>
        <v>0.79358912478459953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'October 26, 2008'!C22*1.03</f>
        <v>0.34649666011721952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5" t="s">
        <v>47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 t="s">
        <v>48</v>
      </c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'October 26, 2008'!A33*1.03</f>
        <v>13.681029418821828</v>
      </c>
      <c r="B33" s="327" t="s">
        <v>54</v>
      </c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R33" s="25"/>
    </row>
    <row r="34" spans="1:18">
      <c r="A34" s="14">
        <f>'October 26, 2008'!A34*1.03</f>
        <v>19.403812966564292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'October 26, 2008'!A35*1.03</f>
        <v>25.126596514306758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'October 26, 2008'!A36*1.03</f>
        <v>30.849380062049221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'October 26, 2008'!A37*1.03</f>
        <v>36.572163609791687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'October 26, 2008'!A38*1.03</f>
        <v>110.532434577393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'October 26, 2008'!A39*1.03</f>
        <v>116.74701983626962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'October 26, 2008'!A40*1.03</f>
        <v>122.95042778352952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'October 26, 2008'!A41*1.03</f>
        <v>160.81915954085659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'October 26, 2008'!A42*1.03</f>
        <v>167.02256748811649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'October 26, 2008'!A43*1.03</f>
        <v>173.23715274699308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'October 26, 2008'!A44*1.03</f>
        <v>179.45173800586969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'October 26, 2008'!A45*1.03</f>
        <v>197.06718111376441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'October 26, 2008'!A46*1.03</f>
        <v>247.58862962117834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'October 26, 2008'!A47*1.03</f>
        <v>253.80321488005495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'October 26, 2008'!A48*1.03</f>
        <v>260.01780013893153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'October 26, 2008'!A49*1.03</f>
        <v>266.23238539780812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'October 26, 2008'!A50*1.03</f>
        <v>272.44697065668475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'October 26, 2008'!A51*1.03</f>
        <v>297.64063104069157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>
      <c r="A60" s="1"/>
    </row>
    <row r="61" spans="1:18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>
      <c r="A85" s="1"/>
    </row>
    <row r="86" spans="1:15">
      <c r="A86" s="22"/>
      <c r="B86" s="23"/>
    </row>
    <row r="87" spans="1:15">
      <c r="A87" s="25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</row>
    <row r="88" spans="1:15">
      <c r="A88" s="25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R107"/>
  <sheetViews>
    <sheetView workbookViewId="0">
      <selection activeCell="G9" sqref="G9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8554687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6.5703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79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>
      <c r="A7" s="6" t="s">
        <v>14</v>
      </c>
      <c r="B7" s="6">
        <v>3</v>
      </c>
      <c r="C7" s="6" t="s">
        <v>15</v>
      </c>
      <c r="D7" s="2" t="s">
        <v>16</v>
      </c>
      <c r="E7" s="2">
        <v>353</v>
      </c>
      <c r="F7" s="6" t="s">
        <v>17</v>
      </c>
      <c r="G7" s="34">
        <v>1901.2601080000002</v>
      </c>
      <c r="H7" s="34">
        <v>2031.2946210000002</v>
      </c>
      <c r="I7" s="34">
        <v>2170.0709500000003</v>
      </c>
      <c r="J7" s="34">
        <v>2317.5890950000003</v>
      </c>
      <c r="K7" s="34">
        <v>2458.0235338505258</v>
      </c>
      <c r="L7" s="34"/>
    </row>
    <row r="8" spans="1:14">
      <c r="A8" s="6" t="s">
        <v>14</v>
      </c>
      <c r="B8" s="6">
        <v>3</v>
      </c>
      <c r="C8" s="6" t="s">
        <v>19</v>
      </c>
      <c r="D8" s="2" t="s">
        <v>20</v>
      </c>
      <c r="E8" s="2">
        <v>353</v>
      </c>
      <c r="F8" s="6" t="s">
        <v>17</v>
      </c>
      <c r="G8" s="34">
        <v>1901.2601080000002</v>
      </c>
      <c r="H8" s="34">
        <v>2031.2946210000002</v>
      </c>
      <c r="I8" s="34">
        <v>2170.0709500000003</v>
      </c>
      <c r="J8" s="34">
        <v>2317.5890950000003</v>
      </c>
      <c r="K8" s="34">
        <v>2458.0235338505258</v>
      </c>
      <c r="L8" s="34"/>
    </row>
    <row r="9" spans="1:14">
      <c r="A9" s="6" t="s">
        <v>14</v>
      </c>
      <c r="B9" s="6">
        <v>3</v>
      </c>
      <c r="C9" s="6" t="s">
        <v>21</v>
      </c>
      <c r="D9" s="2" t="s">
        <v>22</v>
      </c>
      <c r="F9" s="6" t="s">
        <v>17</v>
      </c>
      <c r="G9" s="34">
        <v>1901.2601080000002</v>
      </c>
      <c r="H9" s="34">
        <v>2031.2946210000002</v>
      </c>
      <c r="I9" s="34">
        <v>2170.0709500000003</v>
      </c>
      <c r="J9" s="34">
        <v>2317.5890950000003</v>
      </c>
      <c r="K9" s="34">
        <v>2458.0235338505258</v>
      </c>
      <c r="L9" s="34"/>
    </row>
    <row r="10" spans="1:14">
      <c r="A10" s="6" t="s">
        <v>14</v>
      </c>
      <c r="B10" s="6">
        <v>3</v>
      </c>
      <c r="C10" s="6" t="s">
        <v>23</v>
      </c>
      <c r="D10" s="2" t="s">
        <v>24</v>
      </c>
      <c r="F10" s="6" t="s">
        <v>17</v>
      </c>
      <c r="G10" s="34">
        <v>2504.445412</v>
      </c>
      <c r="H10" s="34">
        <v>2602.7908420000003</v>
      </c>
      <c r="I10" s="34">
        <v>2760.9286786626753</v>
      </c>
      <c r="J10" s="34"/>
      <c r="K10" s="34"/>
      <c r="L10" s="34"/>
    </row>
    <row r="11" spans="1:14">
      <c r="A11" s="6" t="s">
        <v>14</v>
      </c>
      <c r="B11" s="6">
        <v>3</v>
      </c>
      <c r="C11" s="6" t="s">
        <v>77</v>
      </c>
      <c r="D11" s="2" t="s">
        <v>26</v>
      </c>
      <c r="F11" s="6" t="s">
        <v>17</v>
      </c>
      <c r="G11" s="34">
        <v>2504.445412</v>
      </c>
      <c r="H11" s="34">
        <v>2602.7908420000003</v>
      </c>
      <c r="I11" s="34">
        <v>2760.9286786626753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27</v>
      </c>
      <c r="D12" s="2" t="s">
        <v>28</v>
      </c>
      <c r="F12" s="6" t="s">
        <v>17</v>
      </c>
      <c r="G12" s="34">
        <v>2504.445412</v>
      </c>
      <c r="H12" s="34">
        <v>2602.7908420000003</v>
      </c>
      <c r="I12" s="34">
        <v>2760.9286786626753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29</v>
      </c>
      <c r="D13" s="2" t="s">
        <v>30</v>
      </c>
      <c r="F13" s="6" t="s">
        <v>17</v>
      </c>
      <c r="G13" s="34">
        <v>2838.8198740000003</v>
      </c>
      <c r="H13" s="34">
        <v>2951.3707550000004</v>
      </c>
      <c r="I13" s="34">
        <v>3132.015424336601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31</v>
      </c>
      <c r="D14" s="2" t="s">
        <v>32</v>
      </c>
      <c r="F14" s="6" t="s">
        <v>17</v>
      </c>
      <c r="G14" s="34">
        <v>2838.8198740000003</v>
      </c>
      <c r="H14" s="34">
        <v>2951.3707550000004</v>
      </c>
      <c r="I14" s="34">
        <v>3132.015424336601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33</v>
      </c>
      <c r="D15" s="2" t="s">
        <v>34</v>
      </c>
      <c r="F15" s="6" t="s">
        <v>17</v>
      </c>
      <c r="G15" s="34">
        <v>2838.8198740000003</v>
      </c>
      <c r="H15" s="34">
        <v>2951.3707550000004</v>
      </c>
      <c r="I15" s="34">
        <v>3132.015424336601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35</v>
      </c>
      <c r="D16" s="2" t="s">
        <v>36</v>
      </c>
      <c r="F16" s="6" t="s">
        <v>17</v>
      </c>
      <c r="G16" s="34">
        <v>2838.8198740000003</v>
      </c>
      <c r="H16" s="34">
        <v>2951.3707550000004</v>
      </c>
      <c r="I16" s="34">
        <v>3132.015424336601</v>
      </c>
      <c r="J16" s="34"/>
      <c r="K16" s="34"/>
      <c r="L16" s="34"/>
    </row>
    <row r="17" spans="1:18">
      <c r="A17" s="6" t="s">
        <v>14</v>
      </c>
      <c r="B17" s="6">
        <v>3</v>
      </c>
      <c r="C17" s="6" t="s">
        <v>37</v>
      </c>
      <c r="D17" s="2" t="s">
        <v>38</v>
      </c>
      <c r="F17" s="6" t="s">
        <v>17</v>
      </c>
      <c r="G17" s="34">
        <v>2838.8198740000003</v>
      </c>
      <c r="H17" s="34">
        <v>2951.3707550000004</v>
      </c>
      <c r="I17" s="34">
        <v>3132.015424336601</v>
      </c>
      <c r="J17" s="34"/>
      <c r="K17" s="34"/>
      <c r="L17" s="34"/>
    </row>
    <row r="18" spans="1:18" ht="39.75" customHeight="1">
      <c r="A18" s="6" t="s">
        <v>14</v>
      </c>
      <c r="B18" s="6">
        <v>3</v>
      </c>
      <c r="C18" s="6" t="s">
        <v>41</v>
      </c>
      <c r="D18" s="7" t="s">
        <v>40</v>
      </c>
      <c r="F18" s="6" t="s">
        <v>17</v>
      </c>
      <c r="G18" s="34">
        <v>2905.4762209999999</v>
      </c>
      <c r="H18" s="34">
        <v>2954.648936</v>
      </c>
      <c r="I18" s="34">
        <v>3004.9143780000004</v>
      </c>
      <c r="J18" s="34">
        <v>3055.1798200000003</v>
      </c>
      <c r="K18" s="34">
        <v>3241.553078180109</v>
      </c>
      <c r="L18" s="34"/>
    </row>
    <row r="19" spans="1:18">
      <c r="A19" s="6" t="s">
        <v>14</v>
      </c>
      <c r="B19" s="6">
        <v>3</v>
      </c>
      <c r="C19" s="8" t="s">
        <v>39</v>
      </c>
      <c r="D19" s="9" t="s">
        <v>42</v>
      </c>
      <c r="E19" s="1"/>
      <c r="F19" s="6" t="s">
        <v>17</v>
      </c>
      <c r="G19" s="34">
        <v>2905.4762209999999</v>
      </c>
      <c r="H19" s="34">
        <v>2954.648936</v>
      </c>
      <c r="I19" s="34">
        <v>3004.9143780000004</v>
      </c>
      <c r="J19" s="34">
        <v>3055.1798200000003</v>
      </c>
      <c r="K19" s="34">
        <v>3241.553078180109</v>
      </c>
      <c r="L19" s="34"/>
    </row>
    <row r="20" spans="1:18">
      <c r="A20" s="10"/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 t="s">
        <v>44</v>
      </c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/>
      <c r="B22" s="10"/>
      <c r="C22" s="14">
        <v>0.79358912478459953</v>
      </c>
      <c r="D22" s="15" t="s">
        <v>45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/>
    </row>
    <row r="23" spans="1:18">
      <c r="A23" s="10"/>
      <c r="B23" s="10"/>
      <c r="C23" s="14">
        <v>0.34649666011721952</v>
      </c>
      <c r="D23" s="15" t="s">
        <v>46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B25" s="15" t="s">
        <v>47</v>
      </c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 t="s">
        <v>48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6" t="s">
        <v>49</v>
      </c>
      <c r="B28" s="12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5" t="s">
        <v>50</v>
      </c>
      <c r="B29" s="10"/>
      <c r="C29" s="17"/>
      <c r="D29" s="10"/>
      <c r="E29" s="10"/>
      <c r="F29" s="10"/>
      <c r="G29" s="17"/>
      <c r="H29" s="17"/>
      <c r="I29" s="17"/>
      <c r="J29" s="17"/>
      <c r="K29" s="17"/>
      <c r="L29" s="17"/>
      <c r="M29" s="17"/>
      <c r="N29" s="18"/>
    </row>
    <row r="30" spans="1:18">
      <c r="A30" s="10" t="s">
        <v>51</v>
      </c>
      <c r="B30" s="12"/>
      <c r="C30" s="11"/>
      <c r="D30" s="12"/>
      <c r="E30" s="12"/>
      <c r="F30" s="12"/>
      <c r="G30" s="11"/>
      <c r="H30" s="11"/>
      <c r="I30" s="11"/>
      <c r="J30" s="11"/>
      <c r="K30" s="11"/>
      <c r="L30" s="11"/>
      <c r="M30" s="11"/>
      <c r="N30" s="13"/>
    </row>
    <row r="31" spans="1:18">
      <c r="A31" s="19" t="s">
        <v>52</v>
      </c>
      <c r="B31" s="20"/>
      <c r="C31" s="20"/>
      <c r="D31" s="21"/>
      <c r="E31" s="21"/>
    </row>
    <row r="32" spans="1:18">
      <c r="A32" s="19"/>
      <c r="B32" s="20"/>
      <c r="C32" s="20"/>
      <c r="D32" s="21"/>
      <c r="E32" s="21"/>
    </row>
    <row r="33" spans="1:18">
      <c r="A33" s="22" t="s">
        <v>53</v>
      </c>
      <c r="B33" s="23"/>
    </row>
    <row r="34" spans="1:18">
      <c r="A34" s="14">
        <v>13.681029418821828</v>
      </c>
      <c r="B34" s="327" t="s">
        <v>54</v>
      </c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R34" s="25"/>
    </row>
    <row r="35" spans="1:18">
      <c r="A35" s="14">
        <v>19.403812966564292</v>
      </c>
      <c r="B35" s="26" t="s">
        <v>55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v>25.126596514306758</v>
      </c>
      <c r="B36" s="26" t="s">
        <v>56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v>30.849380062049221</v>
      </c>
      <c r="B37" s="26" t="s">
        <v>57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v>36.572163609791687</v>
      </c>
      <c r="B38" s="26" t="s">
        <v>58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v>110.532434577393</v>
      </c>
      <c r="B39" s="26" t="s">
        <v>59</v>
      </c>
      <c r="C39" s="27"/>
      <c r="D39" s="27"/>
      <c r="E39" s="27"/>
      <c r="F39" s="27"/>
      <c r="R39" s="25"/>
    </row>
    <row r="40" spans="1:18">
      <c r="A40" s="14">
        <v>116.74701983626962</v>
      </c>
      <c r="B40" s="26" t="s">
        <v>60</v>
      </c>
      <c r="C40" s="27"/>
      <c r="D40" s="27"/>
      <c r="E40" s="27"/>
      <c r="F40" s="27"/>
      <c r="R40" s="25"/>
    </row>
    <row r="41" spans="1:18">
      <c r="A41" s="14">
        <v>122.95042778352952</v>
      </c>
      <c r="B41" s="26" t="s">
        <v>61</v>
      </c>
      <c r="C41" s="27"/>
      <c r="D41" s="27"/>
      <c r="E41" s="27"/>
      <c r="F41" s="27"/>
      <c r="R41" s="25"/>
    </row>
    <row r="42" spans="1:18">
      <c r="A42" s="14">
        <v>160.81915954085659</v>
      </c>
      <c r="B42" s="26" t="s">
        <v>62</v>
      </c>
      <c r="C42" s="27"/>
      <c r="D42" s="27"/>
      <c r="E42" s="27"/>
      <c r="F42" s="27"/>
      <c r="R42" s="25"/>
    </row>
    <row r="43" spans="1:18">
      <c r="A43" s="14">
        <v>167.02256748811649</v>
      </c>
      <c r="B43" s="26" t="s">
        <v>63</v>
      </c>
      <c r="C43" s="27"/>
      <c r="D43" s="27"/>
      <c r="E43" s="27"/>
      <c r="F43" s="27"/>
      <c r="R43" s="25"/>
    </row>
    <row r="44" spans="1:18">
      <c r="A44" s="14">
        <v>173.23715274699308</v>
      </c>
      <c r="B44" s="26" t="s">
        <v>64</v>
      </c>
      <c r="C44" s="27"/>
      <c r="D44" s="27"/>
      <c r="E44" s="27"/>
      <c r="F44" s="27"/>
      <c r="R44" s="25"/>
    </row>
    <row r="45" spans="1:18">
      <c r="A45" s="14">
        <v>179.45173800586969</v>
      </c>
      <c r="B45" s="26" t="s">
        <v>65</v>
      </c>
      <c r="C45" s="27"/>
      <c r="D45" s="27"/>
      <c r="E45" s="27"/>
      <c r="F45" s="27"/>
      <c r="R45" s="25"/>
    </row>
    <row r="46" spans="1:18">
      <c r="A46" s="14">
        <v>197.06718111376441</v>
      </c>
      <c r="B46" s="26" t="s">
        <v>66</v>
      </c>
      <c r="C46" s="27"/>
      <c r="D46" s="27"/>
      <c r="E46" s="27"/>
      <c r="F46" s="27"/>
      <c r="R46" s="25"/>
    </row>
    <row r="47" spans="1:18">
      <c r="A47" s="14">
        <v>247.58862962117834</v>
      </c>
      <c r="B47" s="26" t="s">
        <v>67</v>
      </c>
      <c r="C47" s="27"/>
      <c r="D47" s="27"/>
      <c r="E47" s="27"/>
      <c r="F47" s="27"/>
      <c r="R47" s="25"/>
    </row>
    <row r="48" spans="1:18">
      <c r="A48" s="14">
        <v>253.80321488005495</v>
      </c>
      <c r="B48" s="26" t="s">
        <v>68</v>
      </c>
      <c r="C48" s="27"/>
      <c r="D48" s="27"/>
      <c r="E48" s="27"/>
      <c r="F48" s="27"/>
      <c r="R48" s="25"/>
    </row>
    <row r="49" spans="1:18">
      <c r="A49" s="14">
        <v>260.01780013893153</v>
      </c>
      <c r="B49" s="26" t="s">
        <v>69</v>
      </c>
      <c r="C49" s="27"/>
      <c r="D49" s="27"/>
      <c r="E49" s="27"/>
      <c r="F49" s="27"/>
      <c r="R49" s="25"/>
    </row>
    <row r="50" spans="1:18">
      <c r="A50" s="14">
        <v>266.23238539780812</v>
      </c>
      <c r="B50" s="26" t="s">
        <v>70</v>
      </c>
      <c r="C50" s="27"/>
      <c r="D50" s="27"/>
      <c r="E50" s="27"/>
      <c r="F50" s="27"/>
      <c r="R50" s="25"/>
    </row>
    <row r="51" spans="1:18">
      <c r="A51" s="14">
        <v>272.44697065668475</v>
      </c>
      <c r="B51" s="26" t="s">
        <v>71</v>
      </c>
      <c r="C51" s="27"/>
      <c r="D51" s="27"/>
      <c r="E51" s="27"/>
      <c r="F51" s="27"/>
      <c r="R51" s="25"/>
    </row>
    <row r="52" spans="1:18">
      <c r="A52" s="14">
        <v>297.64063104069157</v>
      </c>
      <c r="B52" s="26" t="s">
        <v>72</v>
      </c>
      <c r="C52" s="27"/>
      <c r="D52" s="27"/>
      <c r="E52" s="27"/>
      <c r="F52" s="27"/>
      <c r="R52" s="25"/>
    </row>
    <row r="53" spans="1:18">
      <c r="A53" s="23"/>
      <c r="B53" s="28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>
      <c r="A60" s="3"/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8">
      <c r="A61" s="1"/>
    </row>
    <row r="62" spans="1:18">
      <c r="A62" s="4"/>
      <c r="B62" s="4"/>
      <c r="C62" s="4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D73" s="7"/>
      <c r="F73" s="6"/>
      <c r="G73" s="6"/>
      <c r="H73" s="6"/>
      <c r="I73" s="6"/>
      <c r="J73" s="6"/>
      <c r="K73" s="6"/>
      <c r="L73" s="6"/>
    </row>
    <row r="74" spans="1:15">
      <c r="A74" s="1"/>
      <c r="B74" s="1"/>
      <c r="C74" s="8"/>
      <c r="D74" s="9"/>
      <c r="E74" s="1"/>
      <c r="F74" s="1"/>
      <c r="G74" s="6"/>
      <c r="H74" s="6"/>
      <c r="I74" s="6"/>
      <c r="J74" s="6"/>
      <c r="K74" s="6"/>
      <c r="L74" s="6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>
      <c r="A85" s="27"/>
      <c r="B85" s="26"/>
      <c r="C85" s="27"/>
      <c r="D85" s="27"/>
      <c r="E85" s="27"/>
      <c r="F85" s="27"/>
    </row>
    <row r="86" spans="1:15">
      <c r="A86" s="1"/>
    </row>
    <row r="87" spans="1:15">
      <c r="A87" s="22"/>
      <c r="B87" s="23"/>
    </row>
    <row r="88" spans="1:15">
      <c r="A88" s="25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</row>
    <row r="89" spans="1:15">
      <c r="A89" s="25"/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3"/>
      <c r="B104" s="28"/>
      <c r="N104" s="31"/>
    </row>
    <row r="105" spans="1:14">
      <c r="A105" s="23"/>
      <c r="B105" s="28"/>
    </row>
    <row r="106" spans="1:14">
      <c r="A106" s="23"/>
      <c r="B106" s="28"/>
    </row>
    <row r="107" spans="1:14">
      <c r="A107" s="23"/>
      <c r="B107" s="23"/>
    </row>
  </sheetData>
  <mergeCells count="3">
    <mergeCell ref="B34:M34"/>
    <mergeCell ref="B88:M88"/>
    <mergeCell ref="B89:M89"/>
  </mergeCells>
  <pageMargins left="0.5" right="0.5" top="1" bottom="1" header="0.5" footer="0.5"/>
  <pageSetup orientation="landscape" r:id="rId1"/>
  <headerFooter alignWithMargins="0"/>
  <rowBreaks count="1" manualBreakCount="1">
    <brk id="5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107"/>
  <sheetViews>
    <sheetView topLeftCell="A2" workbookViewId="0">
      <selection activeCell="P30" sqref="P30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8554687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6.5703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81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>
      <c r="A7" s="6" t="s">
        <v>14</v>
      </c>
      <c r="B7" s="6">
        <v>3</v>
      </c>
      <c r="C7" s="6" t="s">
        <v>15</v>
      </c>
      <c r="D7" s="2" t="s">
        <v>16</v>
      </c>
      <c r="E7" s="2">
        <v>353</v>
      </c>
      <c r="F7" s="6" t="s">
        <v>17</v>
      </c>
      <c r="G7" s="34">
        <f>'January 1, 2011'!G7</f>
        <v>1901.2601080000002</v>
      </c>
      <c r="H7" s="34">
        <f>'January 1, 2011'!H7</f>
        <v>2031.2946210000002</v>
      </c>
      <c r="I7" s="34">
        <f>'January 1, 2011'!I7</f>
        <v>2170.0709500000003</v>
      </c>
      <c r="J7" s="34">
        <f>'January 1, 2011'!J7</f>
        <v>2317.5890950000003</v>
      </c>
      <c r="K7" s="34">
        <f>'January 1, 2011'!K7</f>
        <v>2458.0235338505258</v>
      </c>
      <c r="L7" s="34"/>
    </row>
    <row r="8" spans="1:14">
      <c r="A8" s="6" t="s">
        <v>14</v>
      </c>
      <c r="B8" s="6">
        <v>3</v>
      </c>
      <c r="C8" s="6" t="s">
        <v>19</v>
      </c>
      <c r="D8" s="2" t="s">
        <v>20</v>
      </c>
      <c r="E8" s="2">
        <v>353</v>
      </c>
      <c r="F8" s="6" t="s">
        <v>17</v>
      </c>
      <c r="G8" s="34">
        <f>'January 1, 2011'!G8</f>
        <v>1901.2601080000002</v>
      </c>
      <c r="H8" s="34">
        <f>'January 1, 2011'!H8</f>
        <v>2031.2946210000002</v>
      </c>
      <c r="I8" s="34">
        <f>'January 1, 2011'!I8</f>
        <v>2170.0709500000003</v>
      </c>
      <c r="J8" s="34">
        <f>'January 1, 2011'!J8</f>
        <v>2317.5890950000003</v>
      </c>
      <c r="K8" s="34">
        <f>'January 1, 2011'!K8</f>
        <v>2458.0235338505258</v>
      </c>
      <c r="L8" s="34"/>
    </row>
    <row r="9" spans="1:14">
      <c r="A9" s="6" t="s">
        <v>14</v>
      </c>
      <c r="B9" s="6">
        <v>3</v>
      </c>
      <c r="C9" s="6" t="s">
        <v>21</v>
      </c>
      <c r="D9" s="2" t="s">
        <v>22</v>
      </c>
      <c r="F9" s="6" t="s">
        <v>17</v>
      </c>
      <c r="G9" s="34">
        <f>'January 1, 2011'!G9</f>
        <v>1901.2601080000002</v>
      </c>
      <c r="H9" s="34">
        <f>'January 1, 2011'!H9</f>
        <v>2031.2946210000002</v>
      </c>
      <c r="I9" s="34">
        <f>'January 1, 2011'!I9</f>
        <v>2170.0709500000003</v>
      </c>
      <c r="J9" s="34">
        <f>'January 1, 2011'!J9</f>
        <v>2317.5890950000003</v>
      </c>
      <c r="K9" s="34">
        <f>'January 1, 2011'!K9</f>
        <v>2458.0235338505258</v>
      </c>
      <c r="L9" s="34"/>
    </row>
    <row r="10" spans="1:14">
      <c r="A10" s="6" t="s">
        <v>14</v>
      </c>
      <c r="B10" s="6">
        <v>3</v>
      </c>
      <c r="C10" s="6" t="s">
        <v>23</v>
      </c>
      <c r="D10" s="2" t="s">
        <v>24</v>
      </c>
      <c r="F10" s="6" t="s">
        <v>17</v>
      </c>
      <c r="G10" s="34">
        <f>'January 1, 2011'!G10</f>
        <v>2504.445412</v>
      </c>
      <c r="H10" s="34">
        <f>'January 1, 2011'!H10</f>
        <v>2602.7908420000003</v>
      </c>
      <c r="I10" s="34">
        <f>'January 1, 2011'!I10</f>
        <v>2760.9286786626753</v>
      </c>
      <c r="J10" s="34">
        <f>'January 1, 2011'!J10</f>
        <v>0</v>
      </c>
      <c r="K10" s="34">
        <f>'January 1, 2011'!K10</f>
        <v>0</v>
      </c>
      <c r="L10" s="34"/>
    </row>
    <row r="11" spans="1:14">
      <c r="A11" s="6" t="s">
        <v>14</v>
      </c>
      <c r="B11" s="6">
        <v>3</v>
      </c>
      <c r="C11" s="6" t="s">
        <v>77</v>
      </c>
      <c r="D11" s="2" t="s">
        <v>26</v>
      </c>
      <c r="F11" s="6" t="s">
        <v>17</v>
      </c>
      <c r="G11" s="34">
        <f>'January 1, 2011'!G11</f>
        <v>2504.445412</v>
      </c>
      <c r="H11" s="34">
        <f>'January 1, 2011'!H11</f>
        <v>2602.7908420000003</v>
      </c>
      <c r="I11" s="34">
        <f>'January 1, 2011'!I11</f>
        <v>2760.9286786626753</v>
      </c>
      <c r="J11" s="34">
        <f>'January 1, 2011'!J11</f>
        <v>0</v>
      </c>
      <c r="K11" s="34">
        <f>'January 1, 2011'!K11</f>
        <v>0</v>
      </c>
      <c r="L11" s="34"/>
    </row>
    <row r="12" spans="1:14">
      <c r="A12" s="6" t="s">
        <v>14</v>
      </c>
      <c r="B12" s="6">
        <v>3</v>
      </c>
      <c r="C12" s="6" t="s">
        <v>27</v>
      </c>
      <c r="D12" s="2" t="s">
        <v>28</v>
      </c>
      <c r="F12" s="6" t="s">
        <v>17</v>
      </c>
      <c r="G12" s="34">
        <f>'January 1, 2011'!G12</f>
        <v>2504.445412</v>
      </c>
      <c r="H12" s="34">
        <f>'January 1, 2011'!H12</f>
        <v>2602.7908420000003</v>
      </c>
      <c r="I12" s="34">
        <f>'January 1, 2011'!I12</f>
        <v>2760.9286786626753</v>
      </c>
      <c r="J12" s="34">
        <f>'January 1, 2011'!J12</f>
        <v>0</v>
      </c>
      <c r="K12" s="34">
        <f>'January 1, 2011'!K12</f>
        <v>0</v>
      </c>
      <c r="L12" s="34"/>
    </row>
    <row r="13" spans="1:14">
      <c r="A13" s="6" t="s">
        <v>14</v>
      </c>
      <c r="B13" s="6">
        <v>3</v>
      </c>
      <c r="C13" s="6" t="s">
        <v>29</v>
      </c>
      <c r="D13" s="2" t="s">
        <v>30</v>
      </c>
      <c r="F13" s="6" t="s">
        <v>17</v>
      </c>
      <c r="G13" s="34">
        <f>'January 1, 2011'!G13</f>
        <v>2838.8198740000003</v>
      </c>
      <c r="H13" s="34">
        <f>'January 1, 2011'!H13</f>
        <v>2951.3707550000004</v>
      </c>
      <c r="I13" s="34">
        <f>'January 1, 2011'!I13</f>
        <v>3132.015424336601</v>
      </c>
      <c r="J13" s="34">
        <f>'January 1, 2011'!J13</f>
        <v>0</v>
      </c>
      <c r="K13" s="34">
        <f>'January 1, 2011'!K13</f>
        <v>0</v>
      </c>
      <c r="L13" s="34"/>
    </row>
    <row r="14" spans="1:14">
      <c r="A14" s="6" t="s">
        <v>14</v>
      </c>
      <c r="B14" s="6">
        <v>3</v>
      </c>
      <c r="C14" s="6" t="s">
        <v>31</v>
      </c>
      <c r="D14" s="2" t="s">
        <v>32</v>
      </c>
      <c r="F14" s="6" t="s">
        <v>17</v>
      </c>
      <c r="G14" s="34">
        <f>'January 1, 2011'!G14</f>
        <v>2838.8198740000003</v>
      </c>
      <c r="H14" s="34">
        <f>'January 1, 2011'!H14</f>
        <v>2951.3707550000004</v>
      </c>
      <c r="I14" s="34">
        <f>'January 1, 2011'!I14</f>
        <v>3132.015424336601</v>
      </c>
      <c r="J14" s="34">
        <f>'January 1, 2011'!J14</f>
        <v>0</v>
      </c>
      <c r="K14" s="34">
        <f>'January 1, 2011'!K14</f>
        <v>0</v>
      </c>
      <c r="L14" s="34"/>
    </row>
    <row r="15" spans="1:14">
      <c r="A15" s="6" t="s">
        <v>14</v>
      </c>
      <c r="B15" s="6">
        <v>3</v>
      </c>
      <c r="C15" s="6" t="s">
        <v>33</v>
      </c>
      <c r="D15" s="2" t="s">
        <v>34</v>
      </c>
      <c r="F15" s="6" t="s">
        <v>17</v>
      </c>
      <c r="G15" s="34">
        <f>'January 1, 2011'!G15</f>
        <v>2838.8198740000003</v>
      </c>
      <c r="H15" s="34">
        <f>'January 1, 2011'!H15</f>
        <v>2951.3707550000004</v>
      </c>
      <c r="I15" s="34">
        <f>'January 1, 2011'!I15</f>
        <v>3132.015424336601</v>
      </c>
      <c r="J15" s="34">
        <f>'January 1, 2011'!J15</f>
        <v>0</v>
      </c>
      <c r="K15" s="34">
        <f>'January 1, 2011'!K15</f>
        <v>0</v>
      </c>
      <c r="L15" s="34"/>
    </row>
    <row r="16" spans="1:14">
      <c r="A16" s="6" t="s">
        <v>14</v>
      </c>
      <c r="B16" s="6">
        <v>3</v>
      </c>
      <c r="C16" s="6" t="s">
        <v>35</v>
      </c>
      <c r="D16" s="2" t="s">
        <v>36</v>
      </c>
      <c r="F16" s="6" t="s">
        <v>17</v>
      </c>
      <c r="G16" s="34">
        <f>'January 1, 2011'!G16</f>
        <v>2838.8198740000003</v>
      </c>
      <c r="H16" s="34">
        <f>'January 1, 2011'!H16</f>
        <v>2951.3707550000004</v>
      </c>
      <c r="I16" s="34">
        <f>'January 1, 2011'!I16</f>
        <v>3132.015424336601</v>
      </c>
      <c r="J16" s="34">
        <f>'January 1, 2011'!J16</f>
        <v>0</v>
      </c>
      <c r="K16" s="34">
        <f>'January 1, 2011'!K16</f>
        <v>0</v>
      </c>
      <c r="L16" s="34"/>
    </row>
    <row r="17" spans="1:18">
      <c r="A17" s="6" t="s">
        <v>14</v>
      </c>
      <c r="B17" s="6">
        <v>3</v>
      </c>
      <c r="C17" s="6" t="s">
        <v>37</v>
      </c>
      <c r="D17" s="2" t="s">
        <v>38</v>
      </c>
      <c r="F17" s="6" t="s">
        <v>17</v>
      </c>
      <c r="G17" s="34">
        <f>'January 1, 2011'!G17</f>
        <v>2838.8198740000003</v>
      </c>
      <c r="H17" s="34">
        <f>'January 1, 2011'!H17</f>
        <v>2951.3707550000004</v>
      </c>
      <c r="I17" s="34">
        <f>'January 1, 2011'!I17</f>
        <v>3132.015424336601</v>
      </c>
      <c r="J17" s="34">
        <f>'January 1, 2011'!J17</f>
        <v>0</v>
      </c>
      <c r="K17" s="34">
        <f>'January 1, 2011'!K17</f>
        <v>0</v>
      </c>
      <c r="L17" s="34"/>
    </row>
    <row r="18" spans="1:18" ht="39.75" customHeight="1">
      <c r="A18" s="6" t="s">
        <v>14</v>
      </c>
      <c r="B18" s="6">
        <v>3</v>
      </c>
      <c r="C18" s="6" t="s">
        <v>41</v>
      </c>
      <c r="D18" s="7" t="s">
        <v>40</v>
      </c>
      <c r="F18" s="6" t="s">
        <v>17</v>
      </c>
      <c r="G18" s="34">
        <f>'January 1, 2011'!G18</f>
        <v>2905.4762209999999</v>
      </c>
      <c r="H18" s="34">
        <f>'January 1, 2011'!H18</f>
        <v>2954.648936</v>
      </c>
      <c r="I18" s="34">
        <f>'January 1, 2011'!I18</f>
        <v>3004.9143780000004</v>
      </c>
      <c r="J18" s="34">
        <f>'January 1, 2011'!J18</f>
        <v>3055.1798200000003</v>
      </c>
      <c r="K18" s="34">
        <f>'January 1, 2011'!K18</f>
        <v>3241.553078180109</v>
      </c>
      <c r="L18" s="34"/>
    </row>
    <row r="19" spans="1:18">
      <c r="A19" s="6" t="s">
        <v>14</v>
      </c>
      <c r="B19" s="6">
        <v>3</v>
      </c>
      <c r="C19" s="8" t="s">
        <v>39</v>
      </c>
      <c r="D19" s="9" t="s">
        <v>42</v>
      </c>
      <c r="E19" s="1"/>
      <c r="F19" s="6" t="s">
        <v>17</v>
      </c>
      <c r="G19" s="34">
        <f>'January 1, 2011'!G19</f>
        <v>2905.4762209999999</v>
      </c>
      <c r="H19" s="34">
        <f>'January 1, 2011'!H19</f>
        <v>2954.648936</v>
      </c>
      <c r="I19" s="34">
        <f>'January 1, 2011'!I19</f>
        <v>3004.9143780000004</v>
      </c>
      <c r="J19" s="34">
        <f>'January 1, 2011'!J19</f>
        <v>3055.1798200000003</v>
      </c>
      <c r="K19" s="34">
        <f>'January 1, 2011'!K19</f>
        <v>3241.553078180109</v>
      </c>
      <c r="L19" s="34"/>
    </row>
    <row r="20" spans="1:18">
      <c r="A20" s="16"/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 t="s">
        <v>44</v>
      </c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/>
      <c r="B22" s="10"/>
      <c r="C22" s="14">
        <f>'January 1, 2011'!C22</f>
        <v>0.79358912478459953</v>
      </c>
      <c r="D22" s="15" t="s">
        <v>45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/>
    </row>
    <row r="23" spans="1:18">
      <c r="A23" s="10"/>
      <c r="B23" s="10"/>
      <c r="C23" s="14">
        <f>'January 1, 2011'!C23</f>
        <v>0.34649666011721952</v>
      </c>
      <c r="D23" s="15" t="s">
        <v>46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B25" s="15" t="s">
        <v>47</v>
      </c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 t="s">
        <v>48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6" t="s">
        <v>49</v>
      </c>
      <c r="B28" s="12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5" t="s">
        <v>50</v>
      </c>
      <c r="B29" s="10"/>
      <c r="C29" s="17"/>
      <c r="D29" s="10"/>
      <c r="E29" s="10"/>
      <c r="F29" s="10"/>
      <c r="G29" s="17"/>
      <c r="H29" s="17"/>
      <c r="I29" s="17"/>
      <c r="J29" s="17"/>
      <c r="K29" s="17"/>
      <c r="L29" s="17"/>
      <c r="M29" s="17"/>
      <c r="N29" s="18"/>
    </row>
    <row r="30" spans="1:18">
      <c r="A30" s="10" t="s">
        <v>51</v>
      </c>
      <c r="B30" s="12"/>
      <c r="C30" s="11"/>
      <c r="D30" s="12"/>
      <c r="E30" s="12"/>
      <c r="F30" s="12"/>
      <c r="G30" s="11"/>
      <c r="H30" s="11"/>
      <c r="I30" s="11"/>
      <c r="J30" s="11"/>
      <c r="K30" s="11"/>
      <c r="L30" s="11"/>
      <c r="M30" s="11"/>
      <c r="N30" s="13"/>
    </row>
    <row r="31" spans="1:18">
      <c r="A31" s="19" t="s">
        <v>52</v>
      </c>
      <c r="B31" s="20"/>
      <c r="C31" s="20"/>
      <c r="D31" s="21"/>
      <c r="E31" s="21"/>
    </row>
    <row r="32" spans="1:18">
      <c r="A32" s="19"/>
      <c r="B32" s="20"/>
      <c r="C32" s="20"/>
      <c r="D32" s="21"/>
      <c r="E32" s="21"/>
    </row>
    <row r="33" spans="1:18">
      <c r="A33" s="22" t="s">
        <v>53</v>
      </c>
      <c r="B33" s="23"/>
    </row>
    <row r="34" spans="1:18">
      <c r="A34" s="14">
        <f>'January 1, 2011'!A34</f>
        <v>13.681029418821828</v>
      </c>
      <c r="B34" s="327" t="s">
        <v>54</v>
      </c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R34" s="25"/>
    </row>
    <row r="35" spans="1:18">
      <c r="A35" s="14">
        <f>'January 1, 2011'!A35</f>
        <v>19.403812966564292</v>
      </c>
      <c r="B35" s="26" t="s">
        <v>55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'January 1, 2011'!A36</f>
        <v>25.126596514306758</v>
      </c>
      <c r="B36" s="26" t="s">
        <v>56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2011'!A37</f>
        <v>30.849380062049221</v>
      </c>
      <c r="B37" s="26" t="s">
        <v>57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2011'!A38</f>
        <v>36.572163609791687</v>
      </c>
      <c r="B38" s="26" t="s">
        <v>58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f>'January 1, 2011'!A39</f>
        <v>110.532434577393</v>
      </c>
      <c r="B39" s="26" t="s">
        <v>59</v>
      </c>
      <c r="C39" s="27"/>
      <c r="D39" s="27"/>
      <c r="E39" s="27"/>
      <c r="F39" s="27"/>
      <c r="R39" s="25"/>
    </row>
    <row r="40" spans="1:18">
      <c r="A40" s="14">
        <f>'January 1, 2011'!A40</f>
        <v>116.74701983626962</v>
      </c>
      <c r="B40" s="26" t="s">
        <v>60</v>
      </c>
      <c r="C40" s="27"/>
      <c r="D40" s="27"/>
      <c r="E40" s="27"/>
      <c r="F40" s="27"/>
      <c r="R40" s="25"/>
    </row>
    <row r="41" spans="1:18">
      <c r="A41" s="14">
        <f>'January 1, 2011'!A41</f>
        <v>122.95042778352952</v>
      </c>
      <c r="B41" s="26" t="s">
        <v>61</v>
      </c>
      <c r="C41" s="27"/>
      <c r="D41" s="27"/>
      <c r="E41" s="27"/>
      <c r="F41" s="27"/>
      <c r="R41" s="25"/>
    </row>
    <row r="42" spans="1:18">
      <c r="A42" s="14">
        <f>'January 1, 2011'!A42</f>
        <v>160.81915954085659</v>
      </c>
      <c r="B42" s="26" t="s">
        <v>62</v>
      </c>
      <c r="C42" s="27"/>
      <c r="D42" s="27"/>
      <c r="E42" s="27"/>
      <c r="F42" s="27"/>
      <c r="R42" s="25"/>
    </row>
    <row r="43" spans="1:18">
      <c r="A43" s="14">
        <f>'January 1, 2011'!A43</f>
        <v>167.02256748811649</v>
      </c>
      <c r="B43" s="26" t="s">
        <v>63</v>
      </c>
      <c r="C43" s="27"/>
      <c r="D43" s="27"/>
      <c r="E43" s="27"/>
      <c r="F43" s="27"/>
      <c r="R43" s="25"/>
    </row>
    <row r="44" spans="1:18">
      <c r="A44" s="14">
        <f>'January 1, 2011'!A44</f>
        <v>173.23715274699308</v>
      </c>
      <c r="B44" s="26" t="s">
        <v>64</v>
      </c>
      <c r="C44" s="27"/>
      <c r="D44" s="27"/>
      <c r="E44" s="27"/>
      <c r="F44" s="27"/>
      <c r="R44" s="25"/>
    </row>
    <row r="45" spans="1:18">
      <c r="A45" s="14">
        <f>'January 1, 2011'!A45</f>
        <v>179.45173800586969</v>
      </c>
      <c r="B45" s="26" t="s">
        <v>65</v>
      </c>
      <c r="C45" s="27"/>
      <c r="D45" s="27"/>
      <c r="E45" s="27"/>
      <c r="F45" s="27"/>
      <c r="R45" s="25"/>
    </row>
    <row r="46" spans="1:18">
      <c r="A46" s="14">
        <f>'January 1, 2011'!A46</f>
        <v>197.06718111376441</v>
      </c>
      <c r="B46" s="26" t="s">
        <v>66</v>
      </c>
      <c r="C46" s="27"/>
      <c r="D46" s="27"/>
      <c r="E46" s="27"/>
      <c r="F46" s="27"/>
      <c r="R46" s="25"/>
    </row>
    <row r="47" spans="1:18">
      <c r="A47" s="14">
        <f>'January 1, 2011'!A47</f>
        <v>247.58862962117834</v>
      </c>
      <c r="B47" s="26" t="s">
        <v>67</v>
      </c>
      <c r="C47" s="27"/>
      <c r="D47" s="27"/>
      <c r="E47" s="27"/>
      <c r="F47" s="27"/>
      <c r="R47" s="25"/>
    </row>
    <row r="48" spans="1:18">
      <c r="A48" s="14">
        <f>'January 1, 2011'!A48</f>
        <v>253.80321488005495</v>
      </c>
      <c r="B48" s="26" t="s">
        <v>68</v>
      </c>
      <c r="C48" s="27"/>
      <c r="D48" s="27"/>
      <c r="E48" s="27"/>
      <c r="F48" s="27"/>
      <c r="R48" s="25"/>
    </row>
    <row r="49" spans="1:18">
      <c r="A49" s="14">
        <f>'January 1, 2011'!A49</f>
        <v>260.01780013893153</v>
      </c>
      <c r="B49" s="26" t="s">
        <v>69</v>
      </c>
      <c r="C49" s="27"/>
      <c r="D49" s="27"/>
      <c r="E49" s="27"/>
      <c r="F49" s="27"/>
      <c r="R49" s="25"/>
    </row>
    <row r="50" spans="1:18">
      <c r="A50" s="14">
        <f>'January 1, 2011'!A50</f>
        <v>266.23238539780812</v>
      </c>
      <c r="B50" s="26" t="s">
        <v>70</v>
      </c>
      <c r="C50" s="27"/>
      <c r="D50" s="27"/>
      <c r="E50" s="27"/>
      <c r="F50" s="27"/>
      <c r="R50" s="25"/>
    </row>
    <row r="51" spans="1:18">
      <c r="A51" s="14">
        <f>'January 1, 2011'!A51</f>
        <v>272.44697065668475</v>
      </c>
      <c r="B51" s="26" t="s">
        <v>71</v>
      </c>
      <c r="C51" s="27"/>
      <c r="D51" s="27"/>
      <c r="E51" s="27"/>
      <c r="F51" s="27"/>
      <c r="R51" s="25"/>
    </row>
    <row r="52" spans="1:18">
      <c r="A52" s="14">
        <f>'January 1, 2011'!A52</f>
        <v>297.64063104069157</v>
      </c>
      <c r="B52" s="26" t="s">
        <v>72</v>
      </c>
      <c r="C52" s="27"/>
      <c r="D52" s="27"/>
      <c r="E52" s="27"/>
      <c r="F52" s="27"/>
      <c r="R52" s="25"/>
    </row>
    <row r="53" spans="1:18">
      <c r="A53" s="23"/>
      <c r="B53" s="28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>
      <c r="A60" s="3"/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8">
      <c r="A61" s="1"/>
    </row>
    <row r="62" spans="1:18">
      <c r="A62" s="4"/>
      <c r="B62" s="4"/>
      <c r="C62" s="4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D73" s="7"/>
      <c r="F73" s="6"/>
      <c r="G73" s="6"/>
      <c r="H73" s="6"/>
      <c r="I73" s="6"/>
      <c r="J73" s="6"/>
      <c r="K73" s="6"/>
      <c r="L73" s="6"/>
    </row>
    <row r="74" spans="1:15">
      <c r="A74" s="1"/>
      <c r="B74" s="1"/>
      <c r="C74" s="8"/>
      <c r="D74" s="9"/>
      <c r="E74" s="1"/>
      <c r="F74" s="1"/>
      <c r="G74" s="6"/>
      <c r="H74" s="6"/>
      <c r="I74" s="6"/>
      <c r="J74" s="6"/>
      <c r="K74" s="6"/>
      <c r="L74" s="6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>
      <c r="A85" s="27"/>
      <c r="B85" s="26"/>
      <c r="C85" s="27"/>
      <c r="D85" s="27"/>
      <c r="E85" s="27"/>
      <c r="F85" s="27"/>
    </row>
    <row r="86" spans="1:15">
      <c r="A86" s="1"/>
    </row>
    <row r="87" spans="1:15">
      <c r="A87" s="22"/>
      <c r="B87" s="23"/>
    </row>
    <row r="88" spans="1:15">
      <c r="A88" s="25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</row>
    <row r="89" spans="1:15">
      <c r="A89" s="25"/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3"/>
      <c r="B104" s="28"/>
      <c r="N104" s="31"/>
    </row>
    <row r="105" spans="1:14">
      <c r="A105" s="23"/>
      <c r="B105" s="28"/>
    </row>
    <row r="106" spans="1:14">
      <c r="A106" s="23"/>
      <c r="B106" s="28"/>
    </row>
    <row r="107" spans="1:14">
      <c r="A107" s="23"/>
      <c r="B107" s="23"/>
    </row>
  </sheetData>
  <mergeCells count="3">
    <mergeCell ref="B34:M34"/>
    <mergeCell ref="B88:M88"/>
    <mergeCell ref="B89:M89"/>
  </mergeCells>
  <pageMargins left="0.5" right="0.5" top="1" bottom="1" header="0.5" footer="0.5"/>
  <pageSetup orientation="landscape" r:id="rId1"/>
  <headerFooter alignWithMargins="0"/>
  <rowBreaks count="1" manualBreakCount="1">
    <brk id="5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R108"/>
  <sheetViews>
    <sheetView workbookViewId="0">
      <selection activeCell="A3" sqref="A3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8554687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6.5703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82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>
      <c r="A7" s="37" t="s">
        <v>14</v>
      </c>
      <c r="B7" s="35">
        <v>3</v>
      </c>
      <c r="C7" s="35"/>
      <c r="D7" s="38" t="s">
        <v>84</v>
      </c>
      <c r="E7" s="35"/>
      <c r="F7" s="35"/>
      <c r="G7" s="36">
        <f>G8*0.7</f>
        <v>1357.4997171120001</v>
      </c>
      <c r="H7" s="5"/>
      <c r="I7" s="5"/>
      <c r="J7" s="5"/>
      <c r="K7" s="5"/>
      <c r="L7" s="5"/>
      <c r="M7" s="5"/>
      <c r="N7" s="5"/>
    </row>
    <row r="8" spans="1:14">
      <c r="A8" s="6" t="s">
        <v>14</v>
      </c>
      <c r="B8" s="6">
        <v>3</v>
      </c>
      <c r="C8" s="6" t="s">
        <v>15</v>
      </c>
      <c r="D8" s="2" t="s">
        <v>16</v>
      </c>
      <c r="E8" s="2">
        <v>353</v>
      </c>
      <c r="F8" s="6" t="s">
        <v>17</v>
      </c>
      <c r="G8" s="34">
        <f>'January 1, 2012'!G7*1.02</f>
        <v>1939.2853101600001</v>
      </c>
      <c r="H8" s="34">
        <f>'January 1, 2012'!H7*1.02</f>
        <v>2071.9205134200001</v>
      </c>
      <c r="I8" s="34">
        <f>'January 1, 2012'!I7*1.02</f>
        <v>2213.4723690000005</v>
      </c>
      <c r="J8" s="34">
        <f>'January 1, 2012'!J7*1.02</f>
        <v>2363.9408769000001</v>
      </c>
      <c r="K8" s="34">
        <f>'January 1, 2012'!K7*1.02</f>
        <v>2507.1840045275362</v>
      </c>
      <c r="L8" s="34"/>
    </row>
    <row r="9" spans="1:14">
      <c r="A9" s="6" t="s">
        <v>14</v>
      </c>
      <c r="B9" s="6">
        <v>3</v>
      </c>
      <c r="C9" s="6" t="s">
        <v>19</v>
      </c>
      <c r="D9" s="2" t="s">
        <v>20</v>
      </c>
      <c r="E9" s="2">
        <v>353</v>
      </c>
      <c r="F9" s="6" t="s">
        <v>17</v>
      </c>
      <c r="G9" s="34">
        <f>'January 1, 2012'!G8*1.02</f>
        <v>1939.2853101600001</v>
      </c>
      <c r="H9" s="34">
        <f>'January 1, 2012'!H8*1.02</f>
        <v>2071.9205134200001</v>
      </c>
      <c r="I9" s="34">
        <f>'January 1, 2012'!I8*1.02</f>
        <v>2213.4723690000005</v>
      </c>
      <c r="J9" s="34">
        <f>'January 1, 2012'!J8*1.02</f>
        <v>2363.9408769000001</v>
      </c>
      <c r="K9" s="34">
        <f>'January 1, 2012'!K8*1.02</f>
        <v>2507.1840045275362</v>
      </c>
      <c r="L9" s="34"/>
    </row>
    <row r="10" spans="1:14">
      <c r="A10" s="6" t="s">
        <v>14</v>
      </c>
      <c r="B10" s="6">
        <v>3</v>
      </c>
      <c r="C10" s="6" t="s">
        <v>21</v>
      </c>
      <c r="D10" s="2" t="s">
        <v>22</v>
      </c>
      <c r="F10" s="6" t="s">
        <v>17</v>
      </c>
      <c r="G10" s="34">
        <f>'January 1, 2012'!G9*1.02</f>
        <v>1939.2853101600001</v>
      </c>
      <c r="H10" s="34">
        <f>'January 1, 2012'!H9*1.02</f>
        <v>2071.9205134200001</v>
      </c>
      <c r="I10" s="34">
        <f>'January 1, 2012'!I9*1.02</f>
        <v>2213.4723690000005</v>
      </c>
      <c r="J10" s="34">
        <f>'January 1, 2012'!J9*1.02</f>
        <v>2363.9408769000001</v>
      </c>
      <c r="K10" s="34">
        <f>'January 1, 2012'!K9*1.02</f>
        <v>2507.1840045275362</v>
      </c>
      <c r="L10" s="34"/>
    </row>
    <row r="11" spans="1:14">
      <c r="A11" s="6" t="s">
        <v>14</v>
      </c>
      <c r="B11" s="6">
        <v>3</v>
      </c>
      <c r="C11" s="6" t="s">
        <v>23</v>
      </c>
      <c r="D11" s="2" t="s">
        <v>24</v>
      </c>
      <c r="F11" s="6" t="s">
        <v>17</v>
      </c>
      <c r="G11" s="34">
        <f>'January 1, 2012'!G10*1.02</f>
        <v>2554.5343202399999</v>
      </c>
      <c r="H11" s="34">
        <f>'January 1, 2012'!H10*1.02</f>
        <v>2654.8466588400006</v>
      </c>
      <c r="I11" s="34">
        <f>'January 1, 2012'!I10*1.02</f>
        <v>2816.147252235929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77</v>
      </c>
      <c r="D12" s="2" t="s">
        <v>26</v>
      </c>
      <c r="F12" s="6" t="s">
        <v>17</v>
      </c>
      <c r="G12" s="34">
        <f>'January 1, 2012'!G11*1.02</f>
        <v>2554.5343202399999</v>
      </c>
      <c r="H12" s="34">
        <f>'January 1, 2012'!H11*1.02</f>
        <v>2654.8466588400006</v>
      </c>
      <c r="I12" s="34">
        <f>'January 1, 2012'!I11*1.02</f>
        <v>2816.147252235929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27</v>
      </c>
      <c r="D13" s="2" t="s">
        <v>28</v>
      </c>
      <c r="F13" s="6" t="s">
        <v>17</v>
      </c>
      <c r="G13" s="34">
        <f>'January 1, 2012'!G12*1.02</f>
        <v>2554.5343202399999</v>
      </c>
      <c r="H13" s="34">
        <f>'January 1, 2012'!H12*1.02</f>
        <v>2654.8466588400006</v>
      </c>
      <c r="I13" s="34">
        <f>'January 1, 2012'!I12*1.02</f>
        <v>2816.147252235929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29</v>
      </c>
      <c r="D14" s="2" t="s">
        <v>30</v>
      </c>
      <c r="F14" s="6" t="s">
        <v>17</v>
      </c>
      <c r="G14" s="34">
        <f>'January 1, 2012'!G13*1.02</f>
        <v>2895.5962714800003</v>
      </c>
      <c r="H14" s="34">
        <f>'January 1, 2012'!H13*1.02</f>
        <v>3010.3981701000002</v>
      </c>
      <c r="I14" s="34">
        <f>'January 1, 2012'!I13*1.02</f>
        <v>3194.655732823333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31</v>
      </c>
      <c r="D15" s="2" t="s">
        <v>32</v>
      </c>
      <c r="F15" s="6" t="s">
        <v>17</v>
      </c>
      <c r="G15" s="34">
        <f>'January 1, 2012'!G14*1.02</f>
        <v>2895.5962714800003</v>
      </c>
      <c r="H15" s="34">
        <f>'January 1, 2012'!H14*1.02</f>
        <v>3010.3981701000002</v>
      </c>
      <c r="I15" s="34">
        <f>'January 1, 2012'!I14*1.02</f>
        <v>3194.655732823333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33</v>
      </c>
      <c r="D16" s="2" t="s">
        <v>34</v>
      </c>
      <c r="F16" s="6" t="s">
        <v>17</v>
      </c>
      <c r="G16" s="34">
        <f>'January 1, 2012'!G15*1.02</f>
        <v>2895.5962714800003</v>
      </c>
      <c r="H16" s="34">
        <f>'January 1, 2012'!H15*1.02</f>
        <v>3010.3981701000002</v>
      </c>
      <c r="I16" s="34">
        <f>'January 1, 2012'!I15*1.02</f>
        <v>3194.655732823333</v>
      </c>
      <c r="J16" s="34"/>
      <c r="K16" s="34"/>
      <c r="L16" s="34"/>
    </row>
    <row r="17" spans="1:18">
      <c r="A17" s="6" t="s">
        <v>14</v>
      </c>
      <c r="B17" s="6">
        <v>3</v>
      </c>
      <c r="C17" s="6" t="s">
        <v>35</v>
      </c>
      <c r="D17" s="2" t="s">
        <v>36</v>
      </c>
      <c r="F17" s="6" t="s">
        <v>17</v>
      </c>
      <c r="G17" s="34">
        <f>'January 1, 2012'!G16*1.02</f>
        <v>2895.5962714800003</v>
      </c>
      <c r="H17" s="34">
        <f>'January 1, 2012'!H16*1.02</f>
        <v>3010.3981701000002</v>
      </c>
      <c r="I17" s="34">
        <f>'January 1, 2012'!I16*1.02</f>
        <v>3194.655732823333</v>
      </c>
      <c r="J17" s="34"/>
      <c r="K17" s="34"/>
      <c r="L17" s="34"/>
    </row>
    <row r="18" spans="1:18">
      <c r="A18" s="6" t="s">
        <v>14</v>
      </c>
      <c r="B18" s="6">
        <v>3</v>
      </c>
      <c r="C18" s="6" t="s">
        <v>37</v>
      </c>
      <c r="D18" s="2" t="s">
        <v>38</v>
      </c>
      <c r="F18" s="6" t="s">
        <v>17</v>
      </c>
      <c r="G18" s="34">
        <f>'January 1, 2012'!G17*1.02</f>
        <v>2895.5962714800003</v>
      </c>
      <c r="H18" s="34">
        <f>'January 1, 2012'!H17*1.02</f>
        <v>3010.3981701000002</v>
      </c>
      <c r="I18" s="34">
        <f>'January 1, 2012'!I17*1.02</f>
        <v>3194.655732823333</v>
      </c>
      <c r="J18" s="34"/>
      <c r="K18" s="34"/>
      <c r="L18" s="34"/>
    </row>
    <row r="19" spans="1:18" ht="39.75" customHeight="1">
      <c r="A19" s="6" t="s">
        <v>14</v>
      </c>
      <c r="B19" s="6">
        <v>3</v>
      </c>
      <c r="C19" s="6" t="s">
        <v>41</v>
      </c>
      <c r="D19" s="7" t="s">
        <v>40</v>
      </c>
      <c r="F19" s="6" t="s">
        <v>17</v>
      </c>
      <c r="G19" s="34">
        <f>'January 1, 2012'!G18*1.02</f>
        <v>2963.58574542</v>
      </c>
      <c r="H19" s="34">
        <f>'January 1, 2012'!H18*1.02</f>
        <v>3013.7419147200003</v>
      </c>
      <c r="I19" s="34">
        <f>'January 1, 2012'!I18*1.02</f>
        <v>3065.0126655600006</v>
      </c>
      <c r="J19" s="34">
        <f>'January 1, 2012'!J18*1.02</f>
        <v>3116.2834164000005</v>
      </c>
      <c r="K19" s="34">
        <f>'January 1, 2012'!K18*1.02</f>
        <v>3306.3841397437113</v>
      </c>
      <c r="L19" s="34"/>
    </row>
    <row r="20" spans="1:18">
      <c r="A20" s="6" t="s">
        <v>14</v>
      </c>
      <c r="B20" s="6">
        <v>3</v>
      </c>
      <c r="C20" s="8" t="s">
        <v>39</v>
      </c>
      <c r="D20" s="9" t="s">
        <v>42</v>
      </c>
      <c r="E20" s="1"/>
      <c r="F20" s="6" t="s">
        <v>17</v>
      </c>
      <c r="G20" s="34">
        <f>'January 1, 2012'!G19*1.02</f>
        <v>2963.58574542</v>
      </c>
      <c r="H20" s="34">
        <f>'January 1, 2012'!H19*1.02</f>
        <v>3013.7419147200003</v>
      </c>
      <c r="I20" s="34">
        <f>'January 1, 2012'!I19*1.02</f>
        <v>3065.0126655600006</v>
      </c>
      <c r="J20" s="34">
        <f>'January 1, 2012'!J19*1.02</f>
        <v>3116.2834164000005</v>
      </c>
      <c r="K20" s="34">
        <f>'January 1, 2012'!K19*1.02</f>
        <v>3306.3841397437113</v>
      </c>
      <c r="L20" s="34"/>
    </row>
    <row r="21" spans="1:18">
      <c r="A21" s="16"/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 t="s">
        <v>44</v>
      </c>
      <c r="B22" s="10"/>
      <c r="C22" s="11"/>
      <c r="D22" s="12"/>
      <c r="E22" s="12"/>
      <c r="F22" s="12"/>
      <c r="G22" s="11"/>
      <c r="H22" s="11"/>
      <c r="I22" s="11"/>
      <c r="J22" s="11"/>
      <c r="K22" s="11"/>
      <c r="L22" s="11"/>
      <c r="M22" s="11"/>
      <c r="N22" s="13"/>
    </row>
    <row r="23" spans="1:18">
      <c r="A23" s="10"/>
      <c r="B23" s="10"/>
      <c r="C23" s="14">
        <f>'January 1, 2012'!C22*1.02</f>
        <v>0.80946090728029152</v>
      </c>
      <c r="D23" s="15" t="s">
        <v>45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A24" s="10"/>
      <c r="B24" s="10"/>
      <c r="C24" s="14">
        <f>'January 1, 2012'!C23*1.02</f>
        <v>0.35342659331956394</v>
      </c>
      <c r="D24" s="15" t="s">
        <v>46</v>
      </c>
      <c r="E24" s="12"/>
      <c r="F24" s="12"/>
      <c r="G24" s="11"/>
      <c r="H24" s="11"/>
      <c r="I24" s="11"/>
      <c r="J24" s="11"/>
      <c r="K24" s="11"/>
      <c r="L24" s="11"/>
      <c r="M24" s="11"/>
      <c r="N24" s="13"/>
      <c r="R24" s="11"/>
    </row>
    <row r="25" spans="1:18"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B26" s="15" t="s">
        <v>47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B27" s="10" t="s">
        <v>48</v>
      </c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0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6" t="s">
        <v>49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5" t="s">
        <v>50</v>
      </c>
      <c r="B30" s="10"/>
      <c r="C30" s="17"/>
      <c r="D30" s="10"/>
      <c r="E30" s="10"/>
      <c r="F30" s="10"/>
      <c r="G30" s="17"/>
      <c r="H30" s="17"/>
      <c r="I30" s="17"/>
      <c r="J30" s="17"/>
      <c r="K30" s="17"/>
      <c r="L30" s="17"/>
      <c r="M30" s="17"/>
      <c r="N30" s="18"/>
    </row>
    <row r="31" spans="1:18">
      <c r="A31" s="10" t="s">
        <v>51</v>
      </c>
      <c r="B31" s="12"/>
      <c r="C31" s="11"/>
      <c r="D31" s="12"/>
      <c r="E31" s="12"/>
      <c r="F31" s="12"/>
      <c r="G31" s="11"/>
      <c r="H31" s="11"/>
      <c r="I31" s="11"/>
      <c r="J31" s="11"/>
      <c r="K31" s="11"/>
      <c r="L31" s="11"/>
      <c r="M31" s="11"/>
      <c r="N31" s="13"/>
    </row>
    <row r="32" spans="1:18">
      <c r="A32" s="19" t="s">
        <v>52</v>
      </c>
      <c r="B32" s="20"/>
      <c r="C32" s="20"/>
      <c r="D32" s="21"/>
      <c r="E32" s="21"/>
    </row>
    <row r="33" spans="1:18">
      <c r="A33" s="19"/>
      <c r="B33" s="20"/>
      <c r="C33" s="20"/>
      <c r="D33" s="21"/>
      <c r="E33" s="21"/>
    </row>
    <row r="34" spans="1:18">
      <c r="A34" s="22" t="s">
        <v>53</v>
      </c>
      <c r="B34" s="23"/>
    </row>
    <row r="35" spans="1:18">
      <c r="A35" s="14">
        <f>'January 1, 2012'!A34*1.02</f>
        <v>13.954650007198264</v>
      </c>
      <c r="B35" s="328" t="s">
        <v>85</v>
      </c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R35" s="25"/>
    </row>
    <row r="36" spans="1:18">
      <c r="A36" s="14">
        <f>'January 1, 2012'!A35*1.02</f>
        <v>19.791889225895577</v>
      </c>
      <c r="B36" s="40" t="s">
        <v>86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2012'!A36*1.02</f>
        <v>25.629128444592894</v>
      </c>
      <c r="B37" s="40" t="s">
        <v>87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2012'!A37*1.02</f>
        <v>31.466367663290207</v>
      </c>
      <c r="B38" s="40" t="s">
        <v>88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f>'January 1, 2012'!A38*1.02</f>
        <v>37.30360688198752</v>
      </c>
      <c r="B39" s="40" t="s">
        <v>89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R39" s="25"/>
    </row>
    <row r="40" spans="1:18">
      <c r="A40" s="14">
        <f>'January 1, 2012'!A39*1.02</f>
        <v>112.74308326894086</v>
      </c>
      <c r="B40" s="40" t="s">
        <v>90</v>
      </c>
      <c r="C40" s="27"/>
      <c r="D40" s="27"/>
      <c r="E40" s="27"/>
      <c r="F40" s="27"/>
      <c r="R40" s="25"/>
    </row>
    <row r="41" spans="1:18">
      <c r="A41" s="14">
        <f>'January 1, 2012'!A40*1.02</f>
        <v>119.08196023299502</v>
      </c>
      <c r="B41" s="40" t="s">
        <v>91</v>
      </c>
      <c r="C41" s="27"/>
      <c r="D41" s="27"/>
      <c r="E41" s="27"/>
      <c r="F41" s="27"/>
      <c r="R41" s="25"/>
    </row>
    <row r="42" spans="1:18">
      <c r="A42" s="14">
        <f>'January 1, 2012'!A41*1.02</f>
        <v>125.40943633920011</v>
      </c>
      <c r="B42" s="40" t="s">
        <v>92</v>
      </c>
      <c r="C42" s="27"/>
      <c r="D42" s="27"/>
      <c r="E42" s="27"/>
      <c r="F42" s="27"/>
      <c r="R42" s="25"/>
    </row>
    <row r="43" spans="1:18">
      <c r="A43" s="14">
        <f>'January 1, 2012'!A42*1.02</f>
        <v>164.03554273167373</v>
      </c>
      <c r="B43" s="40" t="s">
        <v>93</v>
      </c>
      <c r="C43" s="27"/>
      <c r="D43" s="27"/>
      <c r="E43" s="27"/>
      <c r="F43" s="27"/>
      <c r="R43" s="25"/>
    </row>
    <row r="44" spans="1:18">
      <c r="A44" s="14">
        <f>'January 1, 2012'!A43*1.02</f>
        <v>170.36301883787883</v>
      </c>
      <c r="B44" s="40" t="s">
        <v>94</v>
      </c>
      <c r="C44" s="27"/>
      <c r="D44" s="27"/>
      <c r="E44" s="27"/>
      <c r="F44" s="27"/>
      <c r="R44" s="25"/>
    </row>
    <row r="45" spans="1:18">
      <c r="A45" s="14">
        <f>'January 1, 2012'!A44*1.02</f>
        <v>176.70189580193295</v>
      </c>
      <c r="B45" s="40" t="s">
        <v>95</v>
      </c>
      <c r="C45" s="27"/>
      <c r="D45" s="27"/>
      <c r="E45" s="27"/>
      <c r="F45" s="27"/>
      <c r="R45" s="25"/>
    </row>
    <row r="46" spans="1:18">
      <c r="A46" s="14">
        <f>'January 1, 2012'!A45*1.02</f>
        <v>183.04077276598707</v>
      </c>
      <c r="B46" s="40" t="s">
        <v>96</v>
      </c>
      <c r="C46" s="27"/>
      <c r="D46" s="27"/>
      <c r="E46" s="27"/>
      <c r="F46" s="27"/>
      <c r="R46" s="25"/>
    </row>
    <row r="47" spans="1:18">
      <c r="A47" s="14">
        <f>'January 1, 2012'!A46*1.02</f>
        <v>201.0085247360397</v>
      </c>
      <c r="B47" s="40" t="s">
        <v>97</v>
      </c>
      <c r="C47" s="27"/>
      <c r="D47" s="27"/>
      <c r="E47" s="27"/>
      <c r="F47" s="27"/>
      <c r="R47" s="25"/>
    </row>
    <row r="48" spans="1:18">
      <c r="A48" s="14">
        <f>'January 1, 2012'!A47*1.02</f>
        <v>252.54040221360191</v>
      </c>
      <c r="B48" s="40" t="s">
        <v>98</v>
      </c>
      <c r="C48" s="27"/>
      <c r="D48" s="27"/>
      <c r="E48" s="27"/>
      <c r="F48" s="27"/>
      <c r="R48" s="25"/>
    </row>
    <row r="49" spans="1:18">
      <c r="A49" s="14">
        <f>'January 1, 2012'!A48*1.02</f>
        <v>258.87927917765603</v>
      </c>
      <c r="B49" s="40" t="s">
        <v>99</v>
      </c>
      <c r="C49" s="27"/>
      <c r="D49" s="27"/>
      <c r="E49" s="27"/>
      <c r="F49" s="27"/>
      <c r="R49" s="25"/>
    </row>
    <row r="50" spans="1:18">
      <c r="A50" s="14">
        <f>'January 1, 2012'!A49*1.02</f>
        <v>265.21815614171015</v>
      </c>
      <c r="B50" s="40" t="s">
        <v>100</v>
      </c>
      <c r="C50" s="27"/>
      <c r="D50" s="27"/>
      <c r="E50" s="27"/>
      <c r="F50" s="27"/>
      <c r="R50" s="25"/>
    </row>
    <row r="51" spans="1:18">
      <c r="A51" s="14">
        <f>'January 1, 2012'!A50*1.02</f>
        <v>271.55703310576428</v>
      </c>
      <c r="B51" s="40" t="s">
        <v>101</v>
      </c>
      <c r="C51" s="27"/>
      <c r="D51" s="27"/>
      <c r="E51" s="27"/>
      <c r="F51" s="27"/>
      <c r="R51" s="25"/>
    </row>
    <row r="52" spans="1:18">
      <c r="A52" s="14">
        <f>'January 1, 2012'!A51*1.02</f>
        <v>277.89591006981846</v>
      </c>
      <c r="B52" s="40" t="s">
        <v>102</v>
      </c>
      <c r="C52" s="27"/>
      <c r="D52" s="27"/>
      <c r="E52" s="27"/>
      <c r="F52" s="27"/>
      <c r="R52" s="25"/>
    </row>
    <row r="53" spans="1:18">
      <c r="A53" s="14">
        <f>'January 1, 2012'!A52*1.02</f>
        <v>303.59344366150543</v>
      </c>
      <c r="B53" s="40" t="s">
        <v>103</v>
      </c>
      <c r="C53" s="27"/>
      <c r="D53" s="27"/>
      <c r="E53" s="27"/>
      <c r="F53" s="27"/>
      <c r="R53" s="25"/>
    </row>
    <row r="54" spans="1:18">
      <c r="A54" s="23"/>
      <c r="B54" s="28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>
      <c r="A60" s="19"/>
      <c r="B60" s="20"/>
      <c r="C60" s="20"/>
      <c r="D60" s="21"/>
      <c r="E60" s="21"/>
    </row>
    <row r="61" spans="1:18">
      <c r="A61" s="3"/>
      <c r="B61" s="4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8">
      <c r="A62" s="1"/>
    </row>
    <row r="63" spans="1:18">
      <c r="A63" s="4"/>
      <c r="B63" s="4"/>
      <c r="C63" s="4"/>
      <c r="D63" s="4"/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F73" s="6"/>
      <c r="G73" s="6"/>
      <c r="H73" s="6"/>
      <c r="I73" s="6"/>
      <c r="J73" s="6"/>
      <c r="K73" s="6"/>
      <c r="L73" s="6"/>
    </row>
    <row r="74" spans="1:15">
      <c r="A74" s="6"/>
      <c r="B74" s="6"/>
      <c r="C74" s="6"/>
      <c r="D74" s="7"/>
      <c r="F74" s="6"/>
      <c r="G74" s="6"/>
      <c r="H74" s="6"/>
      <c r="I74" s="6"/>
      <c r="J74" s="6"/>
      <c r="K74" s="6"/>
      <c r="L74" s="6"/>
    </row>
    <row r="75" spans="1:15">
      <c r="A75" s="1"/>
      <c r="B75" s="1"/>
      <c r="C75" s="8"/>
      <c r="D75" s="9"/>
      <c r="E75" s="1"/>
      <c r="F75" s="1"/>
      <c r="G75" s="6"/>
      <c r="H75" s="6"/>
      <c r="I75" s="6"/>
      <c r="J75" s="6"/>
      <c r="K75" s="6"/>
      <c r="L75" s="6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29"/>
      <c r="K85" s="29"/>
      <c r="L85" s="29"/>
      <c r="M85" s="30"/>
      <c r="N85" s="30"/>
      <c r="O85" s="30"/>
    </row>
    <row r="86" spans="1:15">
      <c r="A86" s="27"/>
      <c r="B86" s="26"/>
      <c r="C86" s="27"/>
      <c r="D86" s="27"/>
      <c r="E86" s="27"/>
      <c r="F86" s="27"/>
    </row>
    <row r="87" spans="1:15">
      <c r="A87" s="1"/>
    </row>
    <row r="88" spans="1:15">
      <c r="A88" s="22"/>
      <c r="B88" s="23"/>
    </row>
    <row r="89" spans="1:15">
      <c r="A89" s="25"/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</row>
    <row r="90" spans="1:15">
      <c r="A90" s="25"/>
      <c r="B90" s="327"/>
      <c r="C90" s="327"/>
      <c r="D90" s="327"/>
      <c r="E90" s="327"/>
      <c r="F90" s="327"/>
      <c r="G90" s="327"/>
      <c r="H90" s="327"/>
      <c r="I90" s="327"/>
      <c r="J90" s="327"/>
      <c r="K90" s="327"/>
      <c r="L90" s="327"/>
      <c r="M90" s="3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5"/>
      <c r="B104" s="26"/>
      <c r="C104" s="27"/>
      <c r="D104" s="27"/>
      <c r="E104" s="27"/>
      <c r="F104" s="27"/>
      <c r="N104" s="31"/>
    </row>
    <row r="105" spans="1:14">
      <c r="A105" s="23"/>
      <c r="B105" s="28"/>
      <c r="N105" s="31"/>
    </row>
    <row r="106" spans="1:14">
      <c r="A106" s="23"/>
      <c r="B106" s="28"/>
    </row>
    <row r="107" spans="1:14">
      <c r="A107" s="23"/>
      <c r="B107" s="28"/>
    </row>
    <row r="108" spans="1:14">
      <c r="A108" s="23"/>
      <c r="B108" s="23"/>
    </row>
  </sheetData>
  <mergeCells count="3">
    <mergeCell ref="B35:M35"/>
    <mergeCell ref="B89:M89"/>
    <mergeCell ref="B90:M90"/>
  </mergeCells>
  <pageMargins left="0.5" right="0.5" top="1" bottom="1" header="0.5" footer="0.5"/>
  <pageSetup orientation="landscape" r:id="rId1"/>
  <headerFooter alignWithMargins="0"/>
  <rowBreaks count="1" manualBreakCount="1">
    <brk id="60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108"/>
  <sheetViews>
    <sheetView topLeftCell="A22" workbookViewId="0">
      <selection activeCell="N39" sqref="N39"/>
    </sheetView>
  </sheetViews>
  <sheetFormatPr defaultColWidth="9.140625" defaultRowHeight="12.75"/>
  <cols>
    <col min="1" max="1" width="12.5703125" style="2" customWidth="1"/>
    <col min="2" max="2" width="4.140625" style="2" customWidth="1"/>
    <col min="3" max="3" width="8.85546875" style="2" customWidth="1"/>
    <col min="4" max="4" width="24" style="2" customWidth="1"/>
    <col min="5" max="5" width="17.42578125" style="2" hidden="1" customWidth="1"/>
    <col min="6" max="6" width="4.140625" style="2" customWidth="1"/>
    <col min="7" max="7" width="6.5703125" style="2" customWidth="1"/>
    <col min="8" max="9" width="6.42578125" style="2" customWidth="1"/>
    <col min="10" max="10" width="6.140625" style="2" customWidth="1"/>
    <col min="11" max="11" width="6.42578125" style="2" customWidth="1"/>
    <col min="12" max="12" width="6.140625" style="2" customWidth="1"/>
    <col min="13" max="13" width="6.42578125" style="2" customWidth="1"/>
    <col min="14" max="15" width="6.5703125" style="2" customWidth="1"/>
    <col min="16" max="16384" width="9.140625" style="2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>
      <c r="A2" s="1"/>
      <c r="B2" s="1"/>
      <c r="C2" s="1"/>
      <c r="D2" s="1"/>
      <c r="E2" s="1"/>
      <c r="F2" s="1"/>
      <c r="G2" s="1"/>
      <c r="H2" s="1"/>
    </row>
    <row r="3" spans="1:14">
      <c r="A3" s="3" t="s">
        <v>83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>
      <c r="A7" s="6" t="s">
        <v>14</v>
      </c>
      <c r="B7" s="6">
        <v>3</v>
      </c>
      <c r="C7" s="4"/>
      <c r="D7" s="2" t="s">
        <v>84</v>
      </c>
      <c r="E7" s="4"/>
      <c r="F7" s="4" t="s">
        <v>17</v>
      </c>
      <c r="G7" s="34">
        <f>G8*0.7</f>
        <v>1384.6497114542401</v>
      </c>
      <c r="H7" s="5"/>
      <c r="I7" s="5"/>
      <c r="J7" s="5"/>
      <c r="K7" s="5"/>
      <c r="L7" s="5"/>
      <c r="M7" s="5"/>
      <c r="N7" s="5"/>
    </row>
    <row r="8" spans="1:14">
      <c r="A8" s="6" t="s">
        <v>14</v>
      </c>
      <c r="B8" s="6">
        <v>3</v>
      </c>
      <c r="C8" s="6" t="s">
        <v>15</v>
      </c>
      <c r="D8" s="2" t="s">
        <v>16</v>
      </c>
      <c r="E8" s="2">
        <v>353</v>
      </c>
      <c r="F8" s="6" t="s">
        <v>17</v>
      </c>
      <c r="G8" s="34">
        <f>'January 1, 2013'!G8*1.02</f>
        <v>1978.0710163632002</v>
      </c>
      <c r="H8" s="34">
        <f>'January 1, 2013'!H8*1.02</f>
        <v>2113.3589236884</v>
      </c>
      <c r="I8" s="34">
        <f>'January 1, 2013'!I8*1.02</f>
        <v>2257.7418163800007</v>
      </c>
      <c r="J8" s="34">
        <f>'January 1, 2013'!J8*1.02</f>
        <v>2411.2196944380003</v>
      </c>
      <c r="K8" s="34">
        <f>'January 1, 2013'!K8*1.02</f>
        <v>2557.327684618087</v>
      </c>
      <c r="L8" s="34"/>
    </row>
    <row r="9" spans="1:14">
      <c r="A9" s="6" t="s">
        <v>14</v>
      </c>
      <c r="B9" s="6">
        <v>3</v>
      </c>
      <c r="C9" s="6" t="s">
        <v>19</v>
      </c>
      <c r="D9" s="2" t="s">
        <v>20</v>
      </c>
      <c r="E9" s="2">
        <v>353</v>
      </c>
      <c r="F9" s="6" t="s">
        <v>17</v>
      </c>
      <c r="G9" s="34">
        <f>'January 1, 2013'!G9*1.02</f>
        <v>1978.0710163632002</v>
      </c>
      <c r="H9" s="34">
        <f>'January 1, 2013'!H9*1.02</f>
        <v>2113.3589236884</v>
      </c>
      <c r="I9" s="34">
        <f>'January 1, 2013'!I9*1.02</f>
        <v>2257.7418163800007</v>
      </c>
      <c r="J9" s="34">
        <f>'January 1, 2013'!J9*1.02</f>
        <v>2411.2196944380003</v>
      </c>
      <c r="K9" s="34">
        <f>'January 1, 2013'!K9*1.02</f>
        <v>2557.327684618087</v>
      </c>
      <c r="L9" s="34"/>
    </row>
    <row r="10" spans="1:14">
      <c r="A10" s="6" t="s">
        <v>14</v>
      </c>
      <c r="B10" s="6">
        <v>3</v>
      </c>
      <c r="C10" s="6" t="s">
        <v>21</v>
      </c>
      <c r="D10" s="2" t="s">
        <v>22</v>
      </c>
      <c r="F10" s="6" t="s">
        <v>17</v>
      </c>
      <c r="G10" s="34">
        <f>'January 1, 2013'!G10*1.02</f>
        <v>1978.0710163632002</v>
      </c>
      <c r="H10" s="34">
        <f>'January 1, 2013'!H10*1.02</f>
        <v>2113.3589236884</v>
      </c>
      <c r="I10" s="34">
        <f>'January 1, 2013'!I10*1.02</f>
        <v>2257.7418163800007</v>
      </c>
      <c r="J10" s="34">
        <f>'January 1, 2013'!J10*1.02</f>
        <v>2411.2196944380003</v>
      </c>
      <c r="K10" s="34">
        <f>'January 1, 2013'!K10*1.02</f>
        <v>2557.327684618087</v>
      </c>
      <c r="L10" s="34"/>
    </row>
    <row r="11" spans="1:14">
      <c r="A11" s="6" t="s">
        <v>14</v>
      </c>
      <c r="B11" s="6">
        <v>3</v>
      </c>
      <c r="C11" s="6" t="s">
        <v>23</v>
      </c>
      <c r="D11" s="2" t="s">
        <v>24</v>
      </c>
      <c r="F11" s="6" t="s">
        <v>17</v>
      </c>
      <c r="G11" s="34">
        <f>'January 1, 2013'!G11*1.02</f>
        <v>2605.6250066448001</v>
      </c>
      <c r="H11" s="34">
        <f>'January 1, 2013'!H11*1.02</f>
        <v>2707.9435920168007</v>
      </c>
      <c r="I11" s="34">
        <f>'January 1, 2013'!I11*1.02</f>
        <v>2872.4701972806479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77</v>
      </c>
      <c r="D12" s="2" t="s">
        <v>26</v>
      </c>
      <c r="F12" s="6" t="s">
        <v>17</v>
      </c>
      <c r="G12" s="34">
        <f>'January 1, 2013'!G12*1.02</f>
        <v>2605.6250066448001</v>
      </c>
      <c r="H12" s="34">
        <f>'January 1, 2013'!H12*1.02</f>
        <v>2707.9435920168007</v>
      </c>
      <c r="I12" s="34">
        <f>'January 1, 2013'!I12*1.02</f>
        <v>2872.4701972806479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27</v>
      </c>
      <c r="D13" s="2" t="s">
        <v>28</v>
      </c>
      <c r="F13" s="6" t="s">
        <v>17</v>
      </c>
      <c r="G13" s="34">
        <f>'January 1, 2013'!G13*1.02</f>
        <v>2605.6250066448001</v>
      </c>
      <c r="H13" s="34">
        <f>'January 1, 2013'!H13*1.02</f>
        <v>2707.9435920168007</v>
      </c>
      <c r="I13" s="34">
        <f>'January 1, 2013'!I13*1.02</f>
        <v>2872.4701972806479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29</v>
      </c>
      <c r="D14" s="2" t="s">
        <v>30</v>
      </c>
      <c r="F14" s="6" t="s">
        <v>17</v>
      </c>
      <c r="G14" s="34">
        <f>'January 1, 2013'!G14*1.02</f>
        <v>2953.5081969096004</v>
      </c>
      <c r="H14" s="34">
        <f>'January 1, 2013'!H14*1.02</f>
        <v>3070.6061335020004</v>
      </c>
      <c r="I14" s="34">
        <f>'January 1, 2013'!I14*1.02</f>
        <v>3258.5488474797999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31</v>
      </c>
      <c r="D15" s="2" t="s">
        <v>32</v>
      </c>
      <c r="F15" s="6" t="s">
        <v>17</v>
      </c>
      <c r="G15" s="34">
        <f>'January 1, 2013'!G15*1.02</f>
        <v>2953.5081969096004</v>
      </c>
      <c r="H15" s="34">
        <f>'January 1, 2013'!H15*1.02</f>
        <v>3070.6061335020004</v>
      </c>
      <c r="I15" s="34">
        <f>'January 1, 2013'!I15*1.02</f>
        <v>3258.5488474797999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33</v>
      </c>
      <c r="D16" s="2" t="s">
        <v>34</v>
      </c>
      <c r="F16" s="6" t="s">
        <v>17</v>
      </c>
      <c r="G16" s="34">
        <f>'January 1, 2013'!G16*1.02</f>
        <v>2953.5081969096004</v>
      </c>
      <c r="H16" s="34">
        <f>'January 1, 2013'!H16*1.02</f>
        <v>3070.6061335020004</v>
      </c>
      <c r="I16" s="34">
        <f>'January 1, 2013'!I16*1.02</f>
        <v>3258.5488474797999</v>
      </c>
      <c r="J16" s="34"/>
      <c r="K16" s="34"/>
      <c r="L16" s="34"/>
    </row>
    <row r="17" spans="1:18">
      <c r="A17" s="6" t="s">
        <v>14</v>
      </c>
      <c r="B17" s="6">
        <v>3</v>
      </c>
      <c r="C17" s="6" t="s">
        <v>35</v>
      </c>
      <c r="D17" s="2" t="s">
        <v>36</v>
      </c>
      <c r="F17" s="6" t="s">
        <v>17</v>
      </c>
      <c r="G17" s="34">
        <f>'January 1, 2013'!G17*1.02</f>
        <v>2953.5081969096004</v>
      </c>
      <c r="H17" s="34">
        <f>'January 1, 2013'!H17*1.02</f>
        <v>3070.6061335020004</v>
      </c>
      <c r="I17" s="34">
        <f>'January 1, 2013'!I17*1.02</f>
        <v>3258.5488474797999</v>
      </c>
      <c r="J17" s="34"/>
      <c r="K17" s="34"/>
      <c r="L17" s="34"/>
    </row>
    <row r="18" spans="1:18">
      <c r="A18" s="6" t="s">
        <v>14</v>
      </c>
      <c r="B18" s="6">
        <v>3</v>
      </c>
      <c r="C18" s="6" t="s">
        <v>37</v>
      </c>
      <c r="D18" s="2" t="s">
        <v>38</v>
      </c>
      <c r="F18" s="6" t="s">
        <v>17</v>
      </c>
      <c r="G18" s="34">
        <f>'January 1, 2013'!G18*1.02</f>
        <v>2953.5081969096004</v>
      </c>
      <c r="H18" s="34">
        <f>'January 1, 2013'!H18*1.02</f>
        <v>3070.6061335020004</v>
      </c>
      <c r="I18" s="34">
        <f>'January 1, 2013'!I18*1.02</f>
        <v>3258.5488474797999</v>
      </c>
      <c r="J18" s="34"/>
      <c r="K18" s="34"/>
      <c r="L18" s="34"/>
    </row>
    <row r="19" spans="1:18" ht="39.75" customHeight="1">
      <c r="A19" s="6" t="s">
        <v>14</v>
      </c>
      <c r="B19" s="6">
        <v>3</v>
      </c>
      <c r="C19" s="6" t="s">
        <v>41</v>
      </c>
      <c r="D19" s="7" t="s">
        <v>40</v>
      </c>
      <c r="F19" s="6" t="s">
        <v>17</v>
      </c>
      <c r="G19" s="34">
        <f>'January 1, 2013'!G19*1.02</f>
        <v>3022.8574603284001</v>
      </c>
      <c r="H19" s="34">
        <f>'January 1, 2013'!H19*1.02</f>
        <v>3074.0167530144004</v>
      </c>
      <c r="I19" s="34">
        <f>'January 1, 2013'!I19*1.02</f>
        <v>3126.3129188712005</v>
      </c>
      <c r="J19" s="34">
        <f>'January 1, 2013'!J19*1.02</f>
        <v>3178.6090847280007</v>
      </c>
      <c r="K19" s="34">
        <f>'January 1, 2013'!K19*1.02</f>
        <v>3372.5118225385854</v>
      </c>
      <c r="L19" s="34"/>
    </row>
    <row r="20" spans="1:18">
      <c r="A20" s="6" t="s">
        <v>14</v>
      </c>
      <c r="B20" s="6">
        <v>3</v>
      </c>
      <c r="C20" s="8" t="s">
        <v>39</v>
      </c>
      <c r="D20" s="9" t="s">
        <v>42</v>
      </c>
      <c r="E20" s="1"/>
      <c r="F20" s="6" t="s">
        <v>17</v>
      </c>
      <c r="G20" s="34">
        <f>'January 1, 2013'!G20*1.02</f>
        <v>3022.8574603284001</v>
      </c>
      <c r="H20" s="34">
        <f>'January 1, 2013'!H20*1.02</f>
        <v>3074.0167530144004</v>
      </c>
      <c r="I20" s="34">
        <f>'January 1, 2013'!I20*1.02</f>
        <v>3126.3129188712005</v>
      </c>
      <c r="J20" s="34">
        <f>'January 1, 2013'!J20*1.02</f>
        <v>3178.6090847280007</v>
      </c>
      <c r="K20" s="34">
        <f>'January 1, 2013'!K20*1.02</f>
        <v>3372.5118225385854</v>
      </c>
      <c r="L20" s="34"/>
    </row>
    <row r="21" spans="1:18">
      <c r="A21" s="16"/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 t="s">
        <v>44</v>
      </c>
      <c r="B22" s="10"/>
      <c r="C22" s="11"/>
      <c r="D22" s="12"/>
      <c r="E22" s="12"/>
      <c r="F22" s="12"/>
      <c r="G22" s="11"/>
      <c r="H22" s="11"/>
      <c r="I22" s="11"/>
      <c r="J22" s="11"/>
      <c r="K22" s="11"/>
      <c r="L22" s="11"/>
      <c r="M22" s="11"/>
      <c r="N22" s="13"/>
    </row>
    <row r="23" spans="1:18">
      <c r="A23" s="10"/>
      <c r="B23" s="10"/>
      <c r="C23" s="14">
        <f>'January 1, 2013'!C23*1.02</f>
        <v>0.82565012542589733</v>
      </c>
      <c r="D23" s="15" t="s">
        <v>45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A24" s="10"/>
      <c r="B24" s="10"/>
      <c r="C24" s="14">
        <f>'January 1, 2013'!C24*1.02</f>
        <v>0.36049512518595522</v>
      </c>
      <c r="D24" s="15" t="s">
        <v>46</v>
      </c>
      <c r="E24" s="12"/>
      <c r="F24" s="12"/>
      <c r="G24" s="11"/>
      <c r="H24" s="11"/>
      <c r="I24" s="11"/>
      <c r="J24" s="11"/>
      <c r="K24" s="11"/>
      <c r="L24" s="11"/>
      <c r="M24" s="11"/>
      <c r="N24" s="13"/>
      <c r="R24" s="11"/>
    </row>
    <row r="25" spans="1:18"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B26" s="15" t="s">
        <v>47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B27" s="10" t="s">
        <v>48</v>
      </c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0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6" t="s">
        <v>49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5" t="s">
        <v>50</v>
      </c>
      <c r="B30" s="10"/>
      <c r="C30" s="17"/>
      <c r="D30" s="10"/>
      <c r="E30" s="10"/>
      <c r="F30" s="10"/>
      <c r="G30" s="17"/>
      <c r="H30" s="17"/>
      <c r="I30" s="17"/>
      <c r="J30" s="17"/>
      <c r="K30" s="17"/>
      <c r="L30" s="17"/>
      <c r="M30" s="17"/>
      <c r="N30" s="18"/>
    </row>
    <row r="31" spans="1:18">
      <c r="A31" s="10" t="s">
        <v>51</v>
      </c>
      <c r="B31" s="12"/>
      <c r="C31" s="11"/>
      <c r="D31" s="12"/>
      <c r="E31" s="12"/>
      <c r="F31" s="12"/>
      <c r="G31" s="11"/>
      <c r="H31" s="11"/>
      <c r="I31" s="11"/>
      <c r="J31" s="11"/>
      <c r="K31" s="11"/>
      <c r="L31" s="11"/>
      <c r="M31" s="11"/>
      <c r="N31" s="13"/>
    </row>
    <row r="32" spans="1:18">
      <c r="A32" s="19" t="s">
        <v>52</v>
      </c>
      <c r="B32" s="20"/>
      <c r="C32" s="20"/>
      <c r="D32" s="21"/>
      <c r="E32" s="21"/>
    </row>
    <row r="33" spans="1:18">
      <c r="A33" s="19"/>
      <c r="B33" s="20"/>
      <c r="C33" s="20"/>
      <c r="D33" s="21"/>
      <c r="E33" s="21"/>
    </row>
    <row r="34" spans="1:18">
      <c r="A34" s="22" t="s">
        <v>53</v>
      </c>
      <c r="B34" s="39"/>
    </row>
    <row r="35" spans="1:18">
      <c r="A35" s="14">
        <f>'January 1, 2013'!A35*1.02</f>
        <v>14.23374300734223</v>
      </c>
      <c r="B35" s="328" t="s">
        <v>104</v>
      </c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</row>
    <row r="36" spans="1:18">
      <c r="A36" s="14">
        <f>'January 1, 2013'!A36*1.02</f>
        <v>20.187727010413489</v>
      </c>
      <c r="B36" s="328" t="s">
        <v>85</v>
      </c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R36" s="25"/>
    </row>
    <row r="37" spans="1:18">
      <c r="A37" s="14">
        <f>'January 1, 2013'!A37*1.02</f>
        <v>26.141711013484752</v>
      </c>
      <c r="B37" s="40" t="s">
        <v>86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2013'!A38*1.02</f>
        <v>32.095695016556014</v>
      </c>
      <c r="B38" s="40" t="s">
        <v>87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f>'January 1, 2013'!A39*1.02</f>
        <v>38.04967901962727</v>
      </c>
      <c r="B39" s="40" t="s">
        <v>88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R39" s="25"/>
    </row>
    <row r="40" spans="1:18">
      <c r="A40" s="14">
        <f>'January 1, 2013'!A40*1.02</f>
        <v>114.99794493431969</v>
      </c>
      <c r="B40" s="40" t="s">
        <v>89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R40" s="25"/>
    </row>
    <row r="41" spans="1:18">
      <c r="A41" s="14">
        <f>'January 1, 2013'!A41*1.02</f>
        <v>121.46359943765492</v>
      </c>
      <c r="B41" s="40" t="s">
        <v>90</v>
      </c>
      <c r="C41" s="27"/>
      <c r="D41" s="27"/>
      <c r="E41" s="27"/>
      <c r="F41" s="27"/>
      <c r="R41" s="25"/>
    </row>
    <row r="42" spans="1:18">
      <c r="A42" s="14">
        <f>'January 1, 2013'!A42*1.02</f>
        <v>127.91762506598411</v>
      </c>
      <c r="B42" s="40" t="s">
        <v>91</v>
      </c>
      <c r="C42" s="27"/>
      <c r="D42" s="27"/>
      <c r="E42" s="27"/>
      <c r="F42" s="27"/>
      <c r="R42" s="25"/>
    </row>
    <row r="43" spans="1:18">
      <c r="A43" s="14">
        <f>'January 1, 2013'!A43*1.02</f>
        <v>167.3162535863072</v>
      </c>
      <c r="B43" s="40" t="s">
        <v>92</v>
      </c>
      <c r="C43" s="27"/>
      <c r="D43" s="27"/>
      <c r="E43" s="27"/>
      <c r="F43" s="27"/>
      <c r="R43" s="25"/>
    </row>
    <row r="44" spans="1:18">
      <c r="A44" s="14">
        <f>'January 1, 2013'!A44*1.02</f>
        <v>173.77027921463642</v>
      </c>
      <c r="B44" s="40" t="s">
        <v>93</v>
      </c>
      <c r="C44" s="27"/>
      <c r="D44" s="27"/>
      <c r="E44" s="27"/>
      <c r="F44" s="27"/>
      <c r="R44" s="25"/>
    </row>
    <row r="45" spans="1:18">
      <c r="A45" s="14">
        <f>'January 1, 2013'!A45*1.02</f>
        <v>180.23593371797162</v>
      </c>
      <c r="B45" s="40" t="s">
        <v>94</v>
      </c>
      <c r="C45" s="27"/>
      <c r="D45" s="27"/>
      <c r="E45" s="27"/>
      <c r="F45" s="27"/>
      <c r="R45" s="25"/>
    </row>
    <row r="46" spans="1:18">
      <c r="A46" s="14">
        <f>'January 1, 2013'!A46*1.02</f>
        <v>186.70158822130682</v>
      </c>
      <c r="B46" s="40" t="s">
        <v>95</v>
      </c>
      <c r="C46" s="27"/>
      <c r="D46" s="27"/>
      <c r="E46" s="27"/>
      <c r="F46" s="27"/>
      <c r="R46" s="25"/>
    </row>
    <row r="47" spans="1:18">
      <c r="A47" s="14">
        <f>'January 1, 2013'!A47*1.02</f>
        <v>205.02869523076049</v>
      </c>
      <c r="B47" s="40" t="s">
        <v>96</v>
      </c>
      <c r="C47" s="27"/>
      <c r="D47" s="27"/>
      <c r="E47" s="27"/>
      <c r="F47" s="27"/>
      <c r="R47" s="25"/>
    </row>
    <row r="48" spans="1:18">
      <c r="A48" s="14">
        <f>'January 1, 2013'!A48*1.02</f>
        <v>257.59121025787397</v>
      </c>
      <c r="B48" s="40" t="s">
        <v>97</v>
      </c>
      <c r="C48" s="27"/>
      <c r="D48" s="27"/>
      <c r="E48" s="27"/>
      <c r="F48" s="27"/>
      <c r="R48" s="25"/>
    </row>
    <row r="49" spans="1:18">
      <c r="A49" s="14">
        <f>'January 1, 2013'!A49*1.02</f>
        <v>264.05686476120917</v>
      </c>
      <c r="B49" s="40" t="s">
        <v>98</v>
      </c>
      <c r="C49" s="27"/>
      <c r="D49" s="27"/>
      <c r="E49" s="27"/>
      <c r="F49" s="27"/>
      <c r="R49" s="25"/>
    </row>
    <row r="50" spans="1:18">
      <c r="A50" s="14">
        <f>'January 1, 2013'!A50*1.02</f>
        <v>270.52251926454437</v>
      </c>
      <c r="B50" s="40" t="s">
        <v>99</v>
      </c>
      <c r="C50" s="27"/>
      <c r="D50" s="27"/>
      <c r="E50" s="27"/>
      <c r="F50" s="27"/>
      <c r="R50" s="25"/>
    </row>
    <row r="51" spans="1:18">
      <c r="A51" s="14">
        <f>'January 1, 2013'!A51*1.02</f>
        <v>276.98817376787957</v>
      </c>
      <c r="B51" s="40" t="s">
        <v>100</v>
      </c>
      <c r="C51" s="27"/>
      <c r="D51" s="27"/>
      <c r="E51" s="27"/>
      <c r="F51" s="27"/>
      <c r="R51" s="25"/>
    </row>
    <row r="52" spans="1:18">
      <c r="A52" s="14">
        <f>'January 1, 2013'!A52*1.02</f>
        <v>283.45382827121483</v>
      </c>
      <c r="B52" s="40" t="s">
        <v>101</v>
      </c>
      <c r="C52" s="27"/>
      <c r="D52" s="27"/>
      <c r="E52" s="27"/>
      <c r="F52" s="27"/>
      <c r="R52" s="25"/>
    </row>
    <row r="53" spans="1:18">
      <c r="A53" s="14">
        <f>'January 1, 2013'!A53*1.02</f>
        <v>309.66531253473556</v>
      </c>
      <c r="B53" s="40" t="s">
        <v>102</v>
      </c>
      <c r="C53" s="27"/>
      <c r="D53" s="27"/>
      <c r="E53" s="27"/>
      <c r="F53" s="27"/>
      <c r="R53" s="25"/>
    </row>
    <row r="54" spans="1:18">
      <c r="A54" s="19"/>
      <c r="B54" s="28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>
      <c r="A60" s="3"/>
      <c r="B60" s="20"/>
      <c r="C60" s="20"/>
      <c r="D60" s="21"/>
      <c r="E60" s="21"/>
    </row>
    <row r="61" spans="1:18">
      <c r="A61" s="1"/>
      <c r="B61" s="4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8">
      <c r="A62" s="4"/>
    </row>
    <row r="63" spans="1:18">
      <c r="A63" s="6"/>
      <c r="B63" s="4"/>
      <c r="C63" s="4"/>
      <c r="D63" s="4"/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F73" s="6"/>
      <c r="G73" s="6"/>
      <c r="H73" s="6"/>
      <c r="I73" s="6"/>
      <c r="J73" s="6"/>
      <c r="K73" s="6"/>
      <c r="L73" s="6"/>
    </row>
    <row r="74" spans="1:15">
      <c r="A74" s="1"/>
      <c r="B74" s="6"/>
      <c r="C74" s="6"/>
      <c r="D74" s="7"/>
      <c r="F74" s="6"/>
      <c r="G74" s="6"/>
      <c r="H74" s="6"/>
      <c r="I74" s="6"/>
      <c r="J74" s="6"/>
      <c r="K74" s="6"/>
      <c r="L74" s="6"/>
    </row>
    <row r="75" spans="1:15">
      <c r="A75" s="1"/>
      <c r="B75" s="1"/>
      <c r="C75" s="8"/>
      <c r="D75" s="9"/>
      <c r="E75" s="1"/>
      <c r="F75" s="1"/>
      <c r="G75" s="6"/>
      <c r="H75" s="6"/>
      <c r="I75" s="6"/>
      <c r="J75" s="6"/>
      <c r="K75" s="6"/>
      <c r="L75" s="6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>
      <c r="A85" s="27"/>
      <c r="B85" s="1"/>
      <c r="C85" s="1"/>
      <c r="D85" s="1"/>
      <c r="E85" s="1"/>
      <c r="F85" s="1"/>
      <c r="G85" s="1"/>
      <c r="H85" s="1"/>
      <c r="I85" s="1"/>
      <c r="J85" s="29"/>
      <c r="K85" s="29"/>
      <c r="L85" s="29"/>
      <c r="M85" s="30"/>
      <c r="N85" s="30"/>
      <c r="O85" s="30"/>
    </row>
    <row r="86" spans="1:15">
      <c r="A86" s="1"/>
      <c r="B86" s="26"/>
      <c r="C86" s="27"/>
      <c r="D86" s="27"/>
      <c r="E86" s="27"/>
      <c r="F86" s="27"/>
    </row>
    <row r="87" spans="1:15">
      <c r="A87" s="22"/>
    </row>
    <row r="88" spans="1:15">
      <c r="A88" s="25"/>
      <c r="B88" s="23"/>
    </row>
    <row r="89" spans="1:15">
      <c r="A89" s="25"/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</row>
    <row r="90" spans="1:15">
      <c r="A90" s="25"/>
      <c r="B90" s="327"/>
      <c r="C90" s="327"/>
      <c r="D90" s="327"/>
      <c r="E90" s="327"/>
      <c r="F90" s="327"/>
      <c r="G90" s="327"/>
      <c r="H90" s="327"/>
      <c r="I90" s="327"/>
      <c r="J90" s="327"/>
      <c r="K90" s="327"/>
      <c r="L90" s="327"/>
      <c r="M90" s="3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3"/>
      <c r="B104" s="26"/>
      <c r="C104" s="27"/>
      <c r="D104" s="27"/>
      <c r="E104" s="27"/>
      <c r="F104" s="27"/>
      <c r="N104" s="31"/>
    </row>
    <row r="105" spans="1:14">
      <c r="A105" s="23"/>
      <c r="B105" s="28"/>
      <c r="N105" s="31"/>
    </row>
    <row r="106" spans="1:14">
      <c r="A106" s="23"/>
      <c r="B106" s="28"/>
    </row>
    <row r="107" spans="1:14">
      <c r="A107" s="23"/>
      <c r="B107" s="28"/>
    </row>
    <row r="108" spans="1:14">
      <c r="B108" s="23"/>
    </row>
  </sheetData>
  <mergeCells count="4">
    <mergeCell ref="B36:M36"/>
    <mergeCell ref="B89:M89"/>
    <mergeCell ref="B90:M90"/>
    <mergeCell ref="B35:M35"/>
  </mergeCells>
  <pageMargins left="0.5" right="0.5" top="1" bottom="1" header="0.5" footer="0.5"/>
  <pageSetup orientation="landscape" r:id="rId1"/>
  <headerFooter alignWithMargins="0"/>
  <rowBreaks count="1" manualBreakCount="1">
    <brk id="6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33</vt:i4>
      </vt:variant>
    </vt:vector>
  </HeadingPairs>
  <TitlesOfParts>
    <vt:vector size="63" baseType="lpstr">
      <vt:lpstr>Sept 9, 2007</vt:lpstr>
      <vt:lpstr>January 1, 2008</vt:lpstr>
      <vt:lpstr>October 26, 2008</vt:lpstr>
      <vt:lpstr>December 31, 2008</vt:lpstr>
      <vt:lpstr>January 1, 2010</vt:lpstr>
      <vt:lpstr>January 1, 2011</vt:lpstr>
      <vt:lpstr>January 1, 2012</vt:lpstr>
      <vt:lpstr>January 1, 2013</vt:lpstr>
      <vt:lpstr>January 1, 2014</vt:lpstr>
      <vt:lpstr>January 1, 2015</vt:lpstr>
      <vt:lpstr>January 1, 2016</vt:lpstr>
      <vt:lpstr>January 1, 2017</vt:lpstr>
      <vt:lpstr>January 1, 2018</vt:lpstr>
      <vt:lpstr>Sheet2</vt:lpstr>
      <vt:lpstr>Sheet3</vt:lpstr>
      <vt:lpstr>sheet1</vt:lpstr>
      <vt:lpstr>July 1, 2018 </vt:lpstr>
      <vt:lpstr>January 1, 2019</vt:lpstr>
      <vt:lpstr>Corrections</vt:lpstr>
      <vt:lpstr>April 1, 2019</vt:lpstr>
      <vt:lpstr>January 1, 2020</vt:lpstr>
      <vt:lpstr>July 1, 2020</vt:lpstr>
      <vt:lpstr>January 1, 2021</vt:lpstr>
      <vt:lpstr>July 1, 2021</vt:lpstr>
      <vt:lpstr>January 1, 2022</vt:lpstr>
      <vt:lpstr>January 1, 2023</vt:lpstr>
      <vt:lpstr>January 1, 2024</vt:lpstr>
      <vt:lpstr>January 1, 2025</vt:lpstr>
      <vt:lpstr>Notes</vt:lpstr>
      <vt:lpstr>Long+Selection breakdown</vt:lpstr>
      <vt:lpstr>Data2021</vt:lpstr>
      <vt:lpstr>Data2022</vt:lpstr>
      <vt:lpstr>Data2023</vt:lpstr>
      <vt:lpstr>Data2024</vt:lpstr>
      <vt:lpstr>IncrPerc2022</vt:lpstr>
      <vt:lpstr>'January 1, 2023'!IncrPerc2023</vt:lpstr>
      <vt:lpstr>IncrPerc2024</vt:lpstr>
      <vt:lpstr>IncrPerc2025</vt:lpstr>
      <vt:lpstr>Jan2021Rates</vt:lpstr>
      <vt:lpstr>PercIncrJuly2021</vt:lpstr>
      <vt:lpstr>'December 31, 2008'!Print_Area</vt:lpstr>
      <vt:lpstr>'January 1, 2008'!Print_Area</vt:lpstr>
      <vt:lpstr>'January 1, 2010'!Print_Area</vt:lpstr>
      <vt:lpstr>'January 1, 2011'!Print_Area</vt:lpstr>
      <vt:lpstr>'January 1, 2012'!Print_Area</vt:lpstr>
      <vt:lpstr>'January 1, 2013'!Print_Area</vt:lpstr>
      <vt:lpstr>'January 1, 2014'!Print_Area</vt:lpstr>
      <vt:lpstr>'January 1, 2015'!Print_Area</vt:lpstr>
      <vt:lpstr>'January 1, 2016'!Print_Area</vt:lpstr>
      <vt:lpstr>'January 1, 2017'!Print_Area</vt:lpstr>
      <vt:lpstr>'January 1, 2018'!Print_Area</vt:lpstr>
      <vt:lpstr>'January 1, 2019'!Print_Area</vt:lpstr>
      <vt:lpstr>'January 1, 2020'!Print_Area</vt:lpstr>
      <vt:lpstr>'January 1, 2021'!Print_Area</vt:lpstr>
      <vt:lpstr>'January 1, 2022'!Print_Area</vt:lpstr>
      <vt:lpstr>'January 1, 2023'!Print_Area</vt:lpstr>
      <vt:lpstr>'January 1, 2024'!Print_Area</vt:lpstr>
      <vt:lpstr>'January 1, 2025'!Print_Area</vt:lpstr>
      <vt:lpstr>'July 1, 2018 '!Print_Area</vt:lpstr>
      <vt:lpstr>'July 1, 2020'!Print_Area</vt:lpstr>
      <vt:lpstr>'July 1, 2021'!Print_Area</vt:lpstr>
      <vt:lpstr>'October 26, 2008'!Print_Area</vt:lpstr>
      <vt:lpstr>'Sept 9, 2007'!Print_Area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Nelmspk0</dc:creator>
  <cp:lastModifiedBy>Miller, Brenda </cp:lastModifiedBy>
  <cp:lastPrinted>2023-08-23T16:47:01Z</cp:lastPrinted>
  <dcterms:created xsi:type="dcterms:W3CDTF">2008-01-09T19:36:17Z</dcterms:created>
  <dcterms:modified xsi:type="dcterms:W3CDTF">2023-11-21T22:03:43Z</dcterms:modified>
</cp:coreProperties>
</file>