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M:\Human Resources\LABOR\1 (CIC) Appointed Inspectors and Commanders\Salary Schedule\"/>
    </mc:Choice>
  </mc:AlternateContent>
  <xr:revisionPtr revIDLastSave="0" documentId="8_{590AB998-80A3-4913-80CD-E7E0817967A0}" xr6:coauthVersionLast="47" xr6:coauthVersionMax="47" xr10:uidLastSave="{00000000-0000-0000-0000-000000000000}"/>
  <workbookProtection lockStructure="1"/>
  <bookViews>
    <workbookView xWindow="-23148" yWindow="-108" windowWidth="23256" windowHeight="12456" activeTab="1" xr2:uid="{00000000-000D-0000-FFFF-FFFF00000000}"/>
  </bookViews>
  <sheets>
    <sheet name="1-1-2024" sheetId="29" r:id="rId1"/>
    <sheet name="1-1-2025" sheetId="31" r:id="rId2"/>
    <sheet name="1-1-2026" sheetId="33" r:id="rId3"/>
    <sheet name="Months" sheetId="35" state="hidden" r:id="rId4"/>
    <sheet name="Notes" sheetId="21" state="hidden" r:id="rId5"/>
  </sheets>
  <externalReferences>
    <externalReference r:id="rId6"/>
    <externalReference r:id="rId7"/>
  </externalReferences>
  <definedNames>
    <definedName name="_xlnm._FilterDatabase" localSheetId="0" hidden="1">'1-1-2024'!$A$9:$AA$11</definedName>
    <definedName name="_xlnm._FilterDatabase" localSheetId="1" hidden="1">'1-1-2025'!$A$9:$Y$11</definedName>
    <definedName name="_xlnm._FilterDatabase" localSheetId="2" hidden="1">'1-1-2026'!$A$9:$Y$11</definedName>
    <definedName name="_Key1" localSheetId="3" hidden="1">[1]CEL2004!#REF!</definedName>
    <definedName name="_Key1" hidden="1">[1]CEL2004!#REF!</definedName>
    <definedName name="_Order1" hidden="1">255</definedName>
    <definedName name="DataJan2024">'1-1-2024'!$L$9:$R$53</definedName>
    <definedName name="DataJan2025">'1-1-2025'!$L$9:$R$49</definedName>
    <definedName name="DataJan2026">'1-1-2026'!$L$9:$R$50</definedName>
    <definedName name="DataJan2027">#REF!</definedName>
    <definedName name="IncrPerc2020" localSheetId="3">'[2]2020'!$N$1</definedName>
    <definedName name="IncrPerc2021" localSheetId="3">'[2]2021'!$N$1</definedName>
    <definedName name="IncrPercJan2025">'1-1-2025'!$L$3</definedName>
    <definedName name="IncrPercJan2026">'1-1-2026'!$L$3</definedName>
    <definedName name="IncrPercJan2027">#REF!</definedName>
    <definedName name="Long2024">'1-1-2024'!#REF!</definedName>
    <definedName name="Long2025">'1-1-2025'!$V$15:$W$19</definedName>
    <definedName name="Long2026">'1-1-2026'!$V$15:$W$19</definedName>
    <definedName name="Long2027">#REF!</definedName>
    <definedName name="Months">Months!$A$1:$B$12</definedName>
    <definedName name="PensionJan2028" localSheetId="3">#REF!</definedName>
    <definedName name="PercIncrApril2024" localSheetId="3">#REF!</definedName>
    <definedName name="RatesAugust2020" localSheetId="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44" i="33" l="1"/>
  <c r="S44" i="33"/>
  <c r="T44" i="31"/>
  <c r="S44" i="31"/>
  <c r="W45" i="29"/>
  <c r="T45" i="29"/>
  <c r="S45" i="29"/>
  <c r="O45" i="29"/>
  <c r="T42" i="33"/>
  <c r="S42" i="33"/>
  <c r="W43" i="29"/>
  <c r="T43" i="29"/>
  <c r="S43" i="29"/>
  <c r="S17" i="29"/>
  <c r="T17" i="29"/>
  <c r="S18" i="29"/>
  <c r="T18" i="29"/>
  <c r="S19" i="29"/>
  <c r="T19" i="29"/>
  <c r="S20" i="29"/>
  <c r="T20" i="29"/>
  <c r="S21" i="29"/>
  <c r="T21" i="29"/>
  <c r="S22" i="29"/>
  <c r="T22" i="29"/>
  <c r="S23" i="29"/>
  <c r="T23" i="29"/>
  <c r="S24" i="29"/>
  <c r="T24" i="29"/>
  <c r="S25" i="29"/>
  <c r="T25" i="29"/>
  <c r="S26" i="29"/>
  <c r="T26" i="29"/>
  <c r="S27" i="29"/>
  <c r="T27" i="29"/>
  <c r="S28" i="29"/>
  <c r="T28" i="29"/>
  <c r="S29" i="29"/>
  <c r="T29" i="29"/>
  <c r="S30" i="29"/>
  <c r="T30" i="29"/>
  <c r="S31" i="29"/>
  <c r="T31" i="29"/>
  <c r="S32" i="29"/>
  <c r="T32" i="29"/>
  <c r="S33" i="29"/>
  <c r="T33" i="29"/>
  <c r="S34" i="29"/>
  <c r="T34" i="29"/>
  <c r="S35" i="29"/>
  <c r="T35" i="29"/>
  <c r="T16" i="29"/>
  <c r="T17" i="31"/>
  <c r="T18" i="31"/>
  <c r="T19" i="31"/>
  <c r="T20" i="31"/>
  <c r="T21" i="31"/>
  <c r="T22" i="31"/>
  <c r="T23" i="31"/>
  <c r="T24" i="31"/>
  <c r="T25" i="31"/>
  <c r="T26" i="31"/>
  <c r="T27" i="31"/>
  <c r="T28" i="31"/>
  <c r="T29" i="31"/>
  <c r="T30" i="31"/>
  <c r="T31" i="31"/>
  <c r="T32" i="31"/>
  <c r="T33" i="31"/>
  <c r="T34" i="31"/>
  <c r="T35" i="31"/>
  <c r="T16" i="31"/>
  <c r="T42" i="31"/>
  <c r="S42" i="31"/>
  <c r="S17" i="31"/>
  <c r="S18" i="31"/>
  <c r="S19" i="31"/>
  <c r="S20" i="31"/>
  <c r="S21" i="31"/>
  <c r="S22" i="31"/>
  <c r="S23" i="31"/>
  <c r="S24" i="31"/>
  <c r="S25" i="31"/>
  <c r="S26" i="31"/>
  <c r="S27" i="31"/>
  <c r="S28" i="31"/>
  <c r="S29" i="31"/>
  <c r="S30" i="31"/>
  <c r="S31" i="31"/>
  <c r="S32" i="31"/>
  <c r="S33" i="31"/>
  <c r="S34" i="31"/>
  <c r="S35" i="31"/>
  <c r="S16" i="31"/>
  <c r="S16" i="29"/>
  <c r="A43" i="33"/>
  <c r="A43" i="29"/>
  <c r="O42" i="31" a="1"/>
  <c r="O44" i="31" a="1"/>
  <c r="O44" i="31" l="1"/>
  <c r="W44" i="31" s="1"/>
  <c r="O42" i="31"/>
  <c r="W42" i="31" s="1"/>
  <c r="A43" i="31"/>
  <c r="L3" i="33"/>
  <c r="S20" i="33"/>
  <c r="T20" i="33"/>
  <c r="S21" i="33"/>
  <c r="T21" i="33"/>
  <c r="S22" i="33"/>
  <c r="T22" i="33"/>
  <c r="S23" i="33"/>
  <c r="T23" i="33"/>
  <c r="S24" i="33"/>
  <c r="T24" i="33"/>
  <c r="S25" i="33"/>
  <c r="T25" i="33"/>
  <c r="S26" i="33"/>
  <c r="T26" i="33"/>
  <c r="S27" i="33"/>
  <c r="T27" i="33"/>
  <c r="S28" i="33"/>
  <c r="T28" i="33"/>
  <c r="S29" i="33"/>
  <c r="T29" i="33"/>
  <c r="S30" i="33"/>
  <c r="T30" i="33"/>
  <c r="S31" i="33"/>
  <c r="T31" i="33"/>
  <c r="S32" i="33"/>
  <c r="T32" i="33"/>
  <c r="S33" i="33"/>
  <c r="T33" i="33"/>
  <c r="S34" i="33"/>
  <c r="T34" i="33"/>
  <c r="S35" i="33"/>
  <c r="T35" i="33"/>
  <c r="T16" i="33"/>
  <c r="S16" i="33"/>
  <c r="L11" i="29"/>
  <c r="M11" i="29"/>
  <c r="N11" i="29"/>
  <c r="M10" i="29"/>
  <c r="N10" i="29"/>
  <c r="L10" i="29"/>
  <c r="O44" i="33" a="1"/>
  <c r="O42" i="33" a="1"/>
  <c r="O44" i="33" l="1"/>
  <c r="W44" i="33" s="1"/>
  <c r="O42" i="33"/>
  <c r="W42" i="33" s="1"/>
  <c r="A17" i="29"/>
  <c r="A18" i="29"/>
  <c r="A19" i="29"/>
  <c r="A20" i="29"/>
  <c r="A21" i="29"/>
  <c r="A22" i="29"/>
  <c r="A23" i="29"/>
  <c r="A24" i="29"/>
  <c r="A25" i="29"/>
  <c r="A26" i="29"/>
  <c r="A27" i="29"/>
  <c r="A28" i="29"/>
  <c r="A29" i="29"/>
  <c r="A30" i="29"/>
  <c r="A31" i="29"/>
  <c r="A32" i="29"/>
  <c r="A33" i="29"/>
  <c r="A34" i="29"/>
  <c r="A35" i="29"/>
  <c r="A16" i="29"/>
  <c r="W17" i="29"/>
  <c r="W18" i="29"/>
  <c r="W19" i="29"/>
  <c r="W20" i="29"/>
  <c r="W21" i="29"/>
  <c r="W22" i="29"/>
  <c r="W23" i="29"/>
  <c r="W24" i="29"/>
  <c r="W25" i="29"/>
  <c r="W26" i="29"/>
  <c r="W27" i="29"/>
  <c r="W28" i="29"/>
  <c r="W29" i="29"/>
  <c r="W30" i="29"/>
  <c r="W31" i="29"/>
  <c r="W32" i="29"/>
  <c r="W33" i="29"/>
  <c r="W34" i="29"/>
  <c r="W35" i="29"/>
  <c r="W16" i="29"/>
  <c r="L3" i="29" l="1"/>
  <c r="T11" i="29"/>
  <c r="U11" i="29"/>
  <c r="V11" i="29"/>
  <c r="V10" i="29"/>
  <c r="U10" i="29"/>
  <c r="T10" i="29"/>
  <c r="Q11" i="29"/>
  <c r="P11" i="29"/>
  <c r="O11" i="29"/>
  <c r="Q10" i="29"/>
  <c r="P10" i="29"/>
  <c r="O10" i="29"/>
  <c r="X11" i="29" l="1"/>
  <c r="H11" i="29"/>
  <c r="W10" i="29"/>
  <c r="G10" i="29"/>
  <c r="X10" i="29"/>
  <c r="H10" i="29"/>
  <c r="Y11" i="29"/>
  <c r="I11" i="29"/>
  <c r="W11" i="29"/>
  <c r="G11" i="29"/>
  <c r="Y10" i="29"/>
  <c r="I10" i="29"/>
  <c r="A2" i="35" l="1"/>
  <c r="A3" i="35" s="1"/>
  <c r="A4" i="35" s="1"/>
  <c r="A5" i="35" s="1"/>
  <c r="A6" i="35" s="1"/>
  <c r="A7" i="35" s="1"/>
  <c r="A8" i="35" s="1"/>
  <c r="A9" i="35" s="1"/>
  <c r="A10" i="35" s="1"/>
  <c r="A11" i="35" s="1"/>
  <c r="A12" i="35" s="1"/>
  <c r="L3" i="31" l="1"/>
  <c r="T19" i="33" l="1"/>
  <c r="S19" i="33"/>
  <c r="T18" i="33"/>
  <c r="S18" i="33"/>
  <c r="T17" i="33"/>
  <c r="S17" i="33"/>
  <c r="T15" i="33"/>
  <c r="S11" i="33"/>
  <c r="N11" i="33"/>
  <c r="V11" i="33" s="1"/>
  <c r="M11" i="33"/>
  <c r="U11" i="33" s="1"/>
  <c r="L11" i="33"/>
  <c r="T11" i="33" s="1"/>
  <c r="S10" i="33"/>
  <c r="N10" i="33"/>
  <c r="V10" i="33" s="1"/>
  <c r="M10" i="33"/>
  <c r="U10" i="33" s="1"/>
  <c r="L10" i="33"/>
  <c r="K3" i="33"/>
  <c r="L2" i="33"/>
  <c r="T14" i="31"/>
  <c r="S11" i="31"/>
  <c r="N11" i="31"/>
  <c r="V11" i="31" s="1"/>
  <c r="M11" i="31"/>
  <c r="U11" i="31" s="1"/>
  <c r="L11" i="31"/>
  <c r="S10" i="31"/>
  <c r="N10" i="31"/>
  <c r="V10" i="31" s="1"/>
  <c r="M10" i="31"/>
  <c r="U10" i="31" s="1"/>
  <c r="L10" i="31"/>
  <c r="K3" i="31"/>
  <c r="L2" i="31"/>
  <c r="O24" i="31" a="1"/>
  <c r="O29" i="31" a="1"/>
  <c r="O20" i="31" a="1"/>
  <c r="O35" i="31" a="1"/>
  <c r="O26" i="31" a="1"/>
  <c r="O31" i="31" a="1"/>
  <c r="O30" i="31" a="1"/>
  <c r="O33" i="31" a="1"/>
  <c r="O34" i="31" a="1"/>
  <c r="O21" i="31" a="1"/>
  <c r="O22" i="31" a="1"/>
  <c r="O25" i="31" a="1"/>
  <c r="O32" i="31" a="1"/>
  <c r="O27" i="31" a="1"/>
  <c r="O23" i="31" a="1"/>
  <c r="O28" i="31" a="1"/>
  <c r="O21" i="31" l="1"/>
  <c r="O30" i="31"/>
  <c r="O29" i="31"/>
  <c r="O35" i="31"/>
  <c r="O20" i="31"/>
  <c r="O28" i="31"/>
  <c r="O34" i="31"/>
  <c r="O23" i="31"/>
  <c r="O27" i="31"/>
  <c r="O33" i="31"/>
  <c r="O26" i="31"/>
  <c r="O32" i="31"/>
  <c r="O25" i="31"/>
  <c r="O22" i="31"/>
  <c r="O24" i="31"/>
  <c r="O31" i="31"/>
  <c r="T10" i="33"/>
  <c r="T10" i="31"/>
  <c r="T11" i="31"/>
  <c r="O22" i="33" a="1"/>
  <c r="O32" i="33" a="1"/>
  <c r="O20" i="33" a="1"/>
  <c r="O21" i="33" a="1"/>
  <c r="O29" i="33" a="1"/>
  <c r="O33" i="33" a="1"/>
  <c r="O27" i="33" a="1"/>
  <c r="O26" i="33" a="1"/>
  <c r="O24" i="33" a="1"/>
  <c r="O30" i="33" a="1"/>
  <c r="O28" i="33" a="1"/>
  <c r="O35" i="33" a="1"/>
  <c r="O31" i="33" a="1"/>
  <c r="O25" i="33" a="1"/>
  <c r="O34" i="33" a="1"/>
  <c r="O23" i="33" a="1"/>
  <c r="O32" i="33" l="1"/>
  <c r="W32" i="33" s="1"/>
  <c r="O26" i="33"/>
  <c r="A26" i="33" s="1"/>
  <c r="O22" i="33"/>
  <c r="A22" i="33" s="1"/>
  <c r="O33" i="33"/>
  <c r="W33" i="33" s="1"/>
  <c r="O28" i="33"/>
  <c r="W28" i="33" s="1"/>
  <c r="O25" i="33"/>
  <c r="O27" i="33"/>
  <c r="O23" i="33"/>
  <c r="A23" i="33" s="1"/>
  <c r="O34" i="33"/>
  <c r="A34" i="33" s="1"/>
  <c r="O20" i="33"/>
  <c r="A20" i="33" s="1"/>
  <c r="O35" i="33"/>
  <c r="A35" i="33" s="1"/>
  <c r="O29" i="33"/>
  <c r="A29" i="33" s="1"/>
  <c r="O31" i="33"/>
  <c r="W31" i="33" s="1"/>
  <c r="O30" i="33"/>
  <c r="A30" i="33" s="1"/>
  <c r="O24" i="33"/>
  <c r="W24" i="33" s="1"/>
  <c r="O21" i="33"/>
  <c r="A21" i="33" s="1"/>
  <c r="A32" i="31"/>
  <c r="W32" i="31"/>
  <c r="A26" i="31"/>
  <c r="W26" i="31"/>
  <c r="W22" i="31"/>
  <c r="A22" i="31"/>
  <c r="A33" i="31"/>
  <c r="W33" i="31"/>
  <c r="A28" i="31"/>
  <c r="W28" i="31"/>
  <c r="A25" i="31"/>
  <c r="W25" i="31"/>
  <c r="A27" i="31"/>
  <c r="W27" i="31"/>
  <c r="W23" i="31"/>
  <c r="A23" i="31"/>
  <c r="A34" i="31"/>
  <c r="W34" i="31"/>
  <c r="W20" i="31"/>
  <c r="A20" i="31"/>
  <c r="W35" i="31"/>
  <c r="A35" i="31"/>
  <c r="A29" i="31"/>
  <c r="W29" i="31"/>
  <c r="W31" i="31"/>
  <c r="A31" i="31"/>
  <c r="A30" i="31"/>
  <c r="W30" i="31"/>
  <c r="W24" i="31"/>
  <c r="A24" i="31"/>
  <c r="A21" i="31"/>
  <c r="W21" i="31"/>
  <c r="A32" i="33" l="1"/>
  <c r="A24" i="33"/>
  <c r="W26" i="33"/>
  <c r="W20" i="33"/>
  <c r="A28" i="33"/>
  <c r="A33" i="33"/>
  <c r="W21" i="33"/>
  <c r="W34" i="33"/>
  <c r="W23" i="33"/>
  <c r="W35" i="33"/>
  <c r="W22" i="33"/>
  <c r="A31" i="33"/>
  <c r="W29" i="33"/>
  <c r="W25" i="33"/>
  <c r="W27" i="33"/>
  <c r="W30" i="33"/>
  <c r="A27" i="33"/>
  <c r="A25" i="33"/>
  <c r="O17" i="31" a="1"/>
  <c r="O19" i="31" a="1"/>
  <c r="O18" i="31" a="1"/>
  <c r="O17" i="31" l="1"/>
  <c r="O18" i="31"/>
  <c r="O19" i="31"/>
  <c r="O19" i="33" a="1"/>
  <c r="O18" i="33" a="1"/>
  <c r="O17" i="33" a="1"/>
  <c r="O16" i="31" a="1"/>
  <c r="O19" i="33" l="1"/>
  <c r="O18" i="33"/>
  <c r="O17" i="33"/>
  <c r="W19" i="31"/>
  <c r="W18" i="31"/>
  <c r="W17" i="31"/>
  <c r="A17" i="31"/>
  <c r="A19" i="31"/>
  <c r="A18" i="31"/>
  <c r="O16" i="31"/>
  <c r="O16" i="33" a="1"/>
  <c r="W17" i="33" l="1"/>
  <c r="W18" i="33"/>
  <c r="W19" i="33"/>
  <c r="O16" i="33"/>
  <c r="W16" i="31"/>
  <c r="A18" i="33"/>
  <c r="A17" i="33"/>
  <c r="A19" i="33"/>
  <c r="A16" i="31"/>
  <c r="W16" i="33" l="1"/>
  <c r="A16" i="33" l="1"/>
  <c r="O10" i="31" a="1"/>
  <c r="P11" i="31" a="1"/>
  <c r="Q10" i="31" a="1"/>
  <c r="O10" i="31" l="1"/>
  <c r="P11" i="31"/>
  <c r="Q10" i="31"/>
  <c r="O10" i="33" a="1"/>
  <c r="P11" i="33" a="1"/>
  <c r="Q10" i="33" a="1"/>
  <c r="Q10" i="33" l="1"/>
  <c r="P11" i="33"/>
  <c r="O10" i="33"/>
  <c r="I10" i="31"/>
  <c r="Y10" i="31"/>
  <c r="H11" i="31"/>
  <c r="X11" i="31"/>
  <c r="W10" i="31"/>
  <c r="G10" i="31"/>
  <c r="H11" i="33" l="1"/>
  <c r="X11" i="33"/>
  <c r="G10" i="33"/>
  <c r="W10" i="33"/>
  <c r="I10" i="33"/>
  <c r="Y10" i="33"/>
  <c r="Q11" i="31" a="1"/>
  <c r="Q11" i="31" l="1"/>
  <c r="Q11" i="33" a="1"/>
  <c r="Q11" i="33" l="1"/>
  <c r="Y11" i="31"/>
  <c r="I11" i="31"/>
  <c r="Y11" i="33" l="1"/>
  <c r="I11" i="33"/>
  <c r="P10" i="31" a="1"/>
  <c r="P10" i="31" l="1"/>
  <c r="R10" i="31" l="1"/>
  <c r="X10" i="31"/>
  <c r="H10" i="31"/>
  <c r="P10" i="33" a="1"/>
  <c r="P10" i="33" l="1"/>
  <c r="H10" i="33" l="1"/>
  <c r="R10" i="33"/>
  <c r="X10" i="33"/>
  <c r="Z10" i="33" l="1"/>
  <c r="O11" i="31" a="1"/>
  <c r="O11" i="31" l="1"/>
  <c r="R11" i="31" l="1"/>
  <c r="G11" i="31"/>
  <c r="W11" i="31"/>
  <c r="O11" i="33" a="1"/>
  <c r="O11" i="33" l="1"/>
  <c r="R11" i="33" l="1"/>
  <c r="W11" i="33"/>
  <c r="G11" i="33"/>
  <c r="Z11" i="3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<sst xmlns="http://schemas.openxmlformats.org/spreadsheetml/2006/main" count="521" uniqueCount="181">
  <si>
    <t>Job Code</t>
  </si>
  <si>
    <t>Sal Grade</t>
  </si>
  <si>
    <t>Job Title</t>
  </si>
  <si>
    <t>Step 2</t>
  </si>
  <si>
    <t>Step 3</t>
  </si>
  <si>
    <t>Total Points</t>
  </si>
  <si>
    <t>Step 1</t>
  </si>
  <si>
    <t>Brenda Miller</t>
  </si>
  <si>
    <t>Changed Forensic Photography Technician (Grade 6) to Forensic Technician</t>
  </si>
  <si>
    <t>Changed Forensic Technician (Grade 7) to Forensic Firearms Technician</t>
  </si>
  <si>
    <t>`</t>
  </si>
  <si>
    <t>Nelmspk0: Effective 7/1/2019:
Allows Regular Step Progression.
At the start of the pay periodthat includes July 1 2019:  Increases Longevity 1.0%. 
Increases Shift Differentials and premiums 1.0% 
Match the top step of all wage/salary schedules to top step of the "Grandfather Schedule" and reduce each lower step 5%.
Saftey Shoe Allowance remains $140 per year. 
Fires Inspection, Animal Control and Traffic Control  Uniform allocation remains $1,000 per year. 
Veterinary Care Technicians Uniform Allowance remains $750 per year..</t>
  </si>
  <si>
    <t>Pam Nelms</t>
  </si>
  <si>
    <t>Nelmspk0: Effective 1/1/2019:
Allows Regular Step Progression.
At the start of the pay periodthat includes January 1 2019:  Increases Longevity 1.5%. 
Increases Shift Differentials and premium rates 1.5% 
Matches top step of "Grandfather Schedule" and reduces each lower step by 5%. 
Saftey Shoe Allowance remains $140 per year. 
Fires Inspection, Animal Control and Traffic Control  Uniform allocation remains $1,000 per year. 
Veterinary Care Technicians Uniform Allowance remains $750 per year.</t>
  </si>
  <si>
    <t>Nelmspk0: Effective 12/30/2018:
Allows Regular Step Progression.
On December30, 2018:  Eliminate step 1 of all schedule with 6 steps. 
All employees in this schedule will see the name of the Step that they are on change (step 2 becomes step 1, etc.) so that their pay remains the same exactly for this salary structure change.</t>
  </si>
  <si>
    <t>Nelmspk0: Effective At the start of the pay periodthat includes July 1 2018:  
Allows Step Progression
Increases Longevity 1.0%.
Increases Shift Differentials and premiums 1.0% 
Match all wage/salary rates' top step to the top step in the "Grandfather Schedule" with 5% reductions for each lower step.  
Saftey Shoe Allowance remains $140 per year. 
Fires Inspection, Animal Control and Traffic Control  Uniform allocation remains $1,000 per year. 
Veterinary Care Technicians Uniform Allowance remains $750 per year.</t>
  </si>
  <si>
    <t>Allows Step Progression
Increases Longevity 1.25%. 
Increases Shift Differentials and premiums 1.25% 
Match all wage/salary rates' top step to the top step in the "Grandfather Schedule" with 6% reductions for each lower step.  
Safety Shoe Allowance remains $140 per year. 
Fires Inspection, Animal Control and Traffic Control  Uniform allocation remains $1,000 per year. 
Veterinary Care Technicians Uniform Allowance remains $750 per year..</t>
  </si>
  <si>
    <t>unknown - presumably Pam Nelms</t>
  </si>
  <si>
    <t>Nelmspk0: Effective 1/1/2017:
 THIS IS A NEW STRUCTURE FOR THE AFSCME UNIT, APPLIES ONLY TO EMPLOYEES WHO ARE HIRED, PROMOTED, TRANSFERRED, DETAILED OR RECLASSIFIED TO AN AFSCME POSITION WITH AN EFFECTIVE DATE AFTER JULY 1, 2017.
At the start of the pay periodthat includes July 12017: 
NOTES:
Saftey Shoe Allowance = $140 per year. 
Fires Inspection, Animal Control and Traffic Control  Uniform allocation to  $1,000 per year.
Veterinary Care Technicians Uniform Allowance to $750 per year.
(The top step of this schedule is equal to the top step of the "Grandfather Schedule", with reductions of 6% for each earlier step in schedule.  Solid Waste Aide is converted to a 6-step schedule, Police Cadet remains a single step, and Community Service Officer remains a 4-step schedule.)</t>
  </si>
  <si>
    <t>Added Legislative Clerk (Grade 8) - currently hidden</t>
  </si>
  <si>
    <t>Removed exempt duplicate rows that were hourly rates (versus annual)</t>
  </si>
  <si>
    <t>Hid Legislative Clerk pending union approval</t>
  </si>
  <si>
    <t>Added Assessing Technician - active on PeopleSoft but not on list</t>
  </si>
  <si>
    <t>Removed Plan Review Specialist because the job is inactive in PeopleSoft</t>
  </si>
  <si>
    <t>Completed audit</t>
  </si>
  <si>
    <t>Unhid Legislative Clerk</t>
  </si>
  <si>
    <t>Added Process Logic Control Technician</t>
  </si>
  <si>
    <t>Added Visual Communications Management Coord</t>
  </si>
  <si>
    <t>Corrected HR Associate salary structure</t>
  </si>
  <si>
    <t>Error</t>
  </si>
  <si>
    <t>Correct</t>
  </si>
  <si>
    <t>Added Guest Services Support Technician</t>
  </si>
  <si>
    <t>corrected points for Assessor II to 448</t>
  </si>
  <si>
    <t>corrected points for Process Logic Control Technician from 337 to 338</t>
  </si>
  <si>
    <t>Added MPD Kit Coordinator</t>
  </si>
  <si>
    <t>Added Healthy Homes Inspections Coordinator</t>
  </si>
  <si>
    <t>Added Public Service Agent</t>
  </si>
  <si>
    <t>Added Community Pet Case Coordinator</t>
  </si>
  <si>
    <t>Added Service Center Agent</t>
  </si>
  <si>
    <t>Date</t>
  </si>
  <si>
    <t>Updated By</t>
  </si>
  <si>
    <t>Action</t>
  </si>
  <si>
    <t>Date Scheduled Submitted</t>
  </si>
  <si>
    <t>Added MPD Warehouse Specialist</t>
  </si>
  <si>
    <t>Updated PST I salary grade, schedule, &amp; points</t>
  </si>
  <si>
    <t>Updated PST II salary grade, schedule, &amp; points</t>
  </si>
  <si>
    <t>Added MPD TAC/RMS job</t>
  </si>
  <si>
    <t>Added MPD Body Work Cameras Specialists</t>
  </si>
  <si>
    <t>Removed Council Committee Coordinator - inactivated 12/31/2019</t>
  </si>
  <si>
    <t>Added Special Service District Coordinator</t>
  </si>
  <si>
    <t>Added Police Support Specialist (53007C)</t>
  </si>
  <si>
    <t>Added IT Deskside Support Tech III</t>
  </si>
  <si>
    <t>Added MPD Field Technology Specialist</t>
  </si>
  <si>
    <t>Added Vendor Records Specialist</t>
  </si>
  <si>
    <t>Added Community Partnership Liaison</t>
  </si>
  <si>
    <t>Updated Buyer</t>
  </si>
  <si>
    <t>Updated points/salary schedule for MPD Field Technology Spec</t>
  </si>
  <si>
    <t>Updated MPD Kit Coordinator</t>
  </si>
  <si>
    <t>Added Inspector Housing II - SIG</t>
  </si>
  <si>
    <t>Update</t>
  </si>
  <si>
    <t>Y</t>
  </si>
  <si>
    <t>Longevity</t>
  </si>
  <si>
    <t>Data From</t>
  </si>
  <si>
    <t>N</t>
  </si>
  <si>
    <t>Updated MPD Field Technology Specialist salary schedule</t>
  </si>
  <si>
    <t>Renamed District Lead, Animal Control to Animal Control Officer, Lead and updated pts, grade, etc</t>
  </si>
  <si>
    <t>Renamed Animal Control Warden to Animal Control Officer and updated pts, grade, etc</t>
  </si>
  <si>
    <t>Added Customer Service Representative, Lead</t>
  </si>
  <si>
    <t>Retitled Lead Program Relocation Coordinator to Outreach &amp; Relocation Coordinator. Updated points, salary schedule</t>
  </si>
  <si>
    <t>Updated Customer Service Agent I &amp; II to 311 Customer Service Agent I &amp; II &amp; updated points/schedule, etc.</t>
  </si>
  <si>
    <t>Marie Stupeck</t>
  </si>
  <si>
    <t>Added Admin Asst to Elections &amp; Voter Services</t>
  </si>
  <si>
    <t xml:space="preserve">Updated Medical Asst to new grade 6 salary schedule </t>
  </si>
  <si>
    <t>Removed Grandfather verbiage from 1/2003 on schedules</t>
  </si>
  <si>
    <t>Updated Engineering Tech rates to reflect 4/1/2023 market adjustment</t>
  </si>
  <si>
    <t>Updated Code Compliance Specialist salary schedule</t>
  </si>
  <si>
    <t>Erick Howatt</t>
  </si>
  <si>
    <t>Updated Security Specialist</t>
  </si>
  <si>
    <t>Updated Police Internal Affairs Support Spec to MPD Internal Affairs Support Spec</t>
  </si>
  <si>
    <t>Updated salary schedules for Assessor I &amp; II - based on market data only</t>
  </si>
  <si>
    <t>Added MPD Police Background Specialist</t>
  </si>
  <si>
    <t>Added Police Records Technician</t>
  </si>
  <si>
    <t>Updated salary schedule for Account Maintenance Representative</t>
  </si>
  <si>
    <t>Removed reference in premiums to Assessor III as that job code was inactivated in 2016</t>
  </si>
  <si>
    <t>Replaced Case Investigator 01530C, exempt with Case Investigator 53072C, Non exempt</t>
  </si>
  <si>
    <t>City of Minneapolis</t>
  </si>
  <si>
    <t>Updated Lead Utility Billing Specialist</t>
  </si>
  <si>
    <t xml:space="preserve">Removed Office Support Specialist I - Confidential b/c if meets PELRA def of Convidential, it shouldn't be in a union. </t>
  </si>
  <si>
    <t xml:space="preserve">Removed Office Support Specialist III - Confidential b/c if meets PELRA def of Convidential, it shouldn't be in a union. </t>
  </si>
  <si>
    <t>Added Case Investigator II - Civil Rights</t>
  </si>
  <si>
    <t>Class
Grade</t>
  </si>
  <si>
    <t>Effective</t>
  </si>
  <si>
    <t>Last updated</t>
  </si>
  <si>
    <t>Previous Effective Date</t>
  </si>
  <si>
    <t>E</t>
  </si>
  <si>
    <t>Compensation</t>
  </si>
  <si>
    <t>HRIS &amp; Payroll</t>
  </si>
  <si>
    <t>Max Steps</t>
  </si>
  <si>
    <t>NA</t>
  </si>
  <si>
    <t>General Increase</t>
  </si>
  <si>
    <t>Jan</t>
  </si>
  <si>
    <t>Feb</t>
  </si>
  <si>
    <t>Mar</t>
  </si>
  <si>
    <t>Apr</t>
  </si>
  <si>
    <t>May</t>
  </si>
  <si>
    <t>Jun</t>
  </si>
  <si>
    <t>Jul</t>
  </si>
  <si>
    <t>Aug</t>
  </si>
  <si>
    <t>Sep</t>
  </si>
  <si>
    <t>Oct</t>
  </si>
  <si>
    <t>Nov</t>
  </si>
  <si>
    <t>Dec</t>
  </si>
  <si>
    <t>CIC - MnPEA - Police Inspectors &amp; Commander</t>
  </si>
  <si>
    <t>IncrPercJan2024</t>
  </si>
  <si>
    <t>C08100</t>
  </si>
  <si>
    <t>Police Commander</t>
  </si>
  <si>
    <t>C08140</t>
  </si>
  <si>
    <t>Police Inspector</t>
  </si>
  <si>
    <t>FLSA</t>
  </si>
  <si>
    <t>185</t>
  </si>
  <si>
    <t>187</t>
  </si>
  <si>
    <t>7th Year</t>
  </si>
  <si>
    <t>8th Year</t>
  </si>
  <si>
    <t>9th Year</t>
  </si>
  <si>
    <t>10th Year</t>
  </si>
  <si>
    <t>11th Year</t>
  </si>
  <si>
    <t>12th Year</t>
  </si>
  <si>
    <t>13th Year</t>
  </si>
  <si>
    <t>14th Year</t>
  </si>
  <si>
    <t>15th Year</t>
  </si>
  <si>
    <t>16th Year</t>
  </si>
  <si>
    <t>17th Year</t>
  </si>
  <si>
    <t>18th Year</t>
  </si>
  <si>
    <t>19th Year</t>
  </si>
  <si>
    <t>20th Year</t>
  </si>
  <si>
    <t>21st Year</t>
  </si>
  <si>
    <t>22nd Year</t>
  </si>
  <si>
    <t>23rd Year</t>
  </si>
  <si>
    <t>24th Year</t>
  </si>
  <si>
    <t>25th Year</t>
  </si>
  <si>
    <t>26th Year</t>
  </si>
  <si>
    <t>Annual Amt</t>
  </si>
  <si>
    <t>Hrly Amount</t>
  </si>
  <si>
    <t>per year additional at the beginning of the 7th year of service</t>
  </si>
  <si>
    <t>per year additional at the beginning of the 8th year of service</t>
  </si>
  <si>
    <t>per year additional at the beginning of the 9th year of service</t>
  </si>
  <si>
    <t>per year additional at the beginning of the 10th year of service</t>
  </si>
  <si>
    <t>per year additional at the beginning of the 11th year of service</t>
  </si>
  <si>
    <t>per year additional at the beginning of the 12th year of service</t>
  </si>
  <si>
    <t>per year additional at the beginning of the 13th year of service</t>
  </si>
  <si>
    <t>per year additional at the beginning of the 14th year of service</t>
  </si>
  <si>
    <t>per year additional at the beginning of the 15th year of service</t>
  </si>
  <si>
    <t>per year additional at the beginning of the 16th year of service</t>
  </si>
  <si>
    <t>per year additional at the beginning of the 17th year of service</t>
  </si>
  <si>
    <t>per year additional at the beginning of the 18th year of service</t>
  </si>
  <si>
    <t>per year additional at the beginning of the 19th year of service</t>
  </si>
  <si>
    <t>per year additional at the beginning of the 20th year of service</t>
  </si>
  <si>
    <t>per year additional at the beginning of the 21st year of service</t>
  </si>
  <si>
    <t>per year additional at the beginning of the 22nd year of service</t>
  </si>
  <si>
    <t>per year additional at the beginning of the 23rd year of service</t>
  </si>
  <si>
    <t>per year additional at the beginning of the 24th year of service</t>
  </si>
  <si>
    <t>per year additional at the beginning of the 25th year of service</t>
  </si>
  <si>
    <t>per year additional at the beginning of the 26th year of service</t>
  </si>
  <si>
    <t>Longevity Pay</t>
  </si>
  <si>
    <t xml:space="preserve">Employees shall receive a one-time payment equivalent to 1/10th of the employee’s weekly salary when required by their position to respond </t>
  </si>
  <si>
    <t>includes decisions on deployment resources that go beyond the authority of a watch commander to coordinate resources for a multi-agency response.</t>
  </si>
  <si>
    <t>to a critical or emerging incident for which a command level presence is required with approval from the chief or the chief’s designee. This</t>
  </si>
  <si>
    <t>Critical/Emerging Incident Pay</t>
  </si>
  <si>
    <t>Step Conversion</t>
  </si>
  <si>
    <t>Old Step</t>
  </si>
  <si>
    <t>New Step</t>
  </si>
  <si>
    <t>1</t>
  </si>
  <si>
    <t>2</t>
  </si>
  <si>
    <t>3</t>
  </si>
  <si>
    <t>Note: Effective 1/1/2024, employees will be transitioned from their old step to their new step as follows:</t>
  </si>
  <si>
    <t>Clothing &amp; Equipment Allowance</t>
  </si>
  <si>
    <t>of the year in which payment is made.</t>
  </si>
  <si>
    <t>Newly promoted or rehired employees will receive an allowance equal to 2 times the annual clothing and equipment allowance in effect</t>
  </si>
  <si>
    <t>at the commencement of the employeee's employment in a position covered by the agreement.</t>
  </si>
  <si>
    <t>Clothing/Equipment Allowance - Current Emps</t>
  </si>
  <si>
    <t>Clothing/Equipment Allowance - New Emps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</si>
</sst>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0.000"/>
    <numFmt numFmtId="165" formatCode="&quot;$&quot;#,##0"/>
    <numFmt numFmtId="166" formatCode="&quot;$&quot;#,##0.000"/>
    <numFmt numFmtId="167" formatCode="&quot;$&quot;#,##0.00"/>
    <numFmt numFmtId="168" formatCode="[$-409]mmmm\ d\,\ yyyy;@"/>
    <numFmt numFmtId="169" formatCode="0.000_)"/>
  </numFmts>
  <fonts count="17">
    <font>
      <sz val="10"/>
      <name val="Arial Unicode MS"/>
      <family val="2"/>
    </font>
    <font>
      <sz val="11"/>
      <color theme="1"/>
      <name val="Calibri"/>
      <family val="2"/>
    </font>
    <font>
      <sz val="10"/>
      <name val="Arial"/>
      <family val="2"/>
    </font>
    <font>
      <sz val="10"/>
      <name val="Arial Unicode MS"/>
      <family val="2"/>
    </font>
    <font>
      <sz val="10"/>
      <name val="Arial Unicode MS"/>
      <family val="2"/>
    </font>
    <font>
      <b/>
      <sz val="12"/>
      <name val="Calibri"/>
      <family val="2"/>
      <scheme val="minor"/>
    </font>
    <font>
      <sz val="12"/>
      <name val="Calibri"/>
      <family val="2"/>
      <scheme val="minor"/>
    </font>
    <font>
      <b/>
      <sz val="12"/>
      <color rgb="FF339933"/>
      <name val="Calibri"/>
      <family val="2"/>
      <scheme val="minor"/>
    </font>
    <font>
      <sz val="12"/>
      <color rgb="FF339933"/>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b/>
      <i/>
      <sz val="12"/>
      <color rgb="FF339933"/>
      <name val="Calibri"/>
      <family val="2"/>
      <scheme val="minor"/>
    </font>
    <font>
      <sz val="8"/>
      <name val="Arial Unicode MS"/>
      <family val="2"/>
    </font>
    <font>
      <sz val="11"/>
      <color indexed="8"/>
      <name val="Calibri"/>
      <family val="2"/>
      <scheme val="minor"/>
    </font>
    <font>
      <i/>
      <sz val="12"/>
      <name val="Calibri"/>
      <family val="2"/>
      <scheme val="minor"/>
    </font>
    <font>
      <sz val="10"/>
      <color rgb="FF0C0D0E"/>
      <name val="Consolas"/>
      <family val="3"/>
    </font>
  </fonts>
  <fills count="5">
    <fill>
      <patternFill patternType="none"/>
    </fill>
    <fill>
      <patternFill patternType="gray125"/>
    </fill>
    <fill>
      <patternFill patternType="solid">
        <fgColor theme="9"/>
        <bgColor indexed="64"/>
      </patternFill>
    </fill>
    <fill>
      <patternFill patternType="solid">
        <fgColor theme="6"/>
        <bgColor indexed="64"/>
      </patternFill>
    </fill>
    <fill>
      <patternFill patternType="solid">
        <fgColor rgb="FFF6F6F6"/>
        <bgColor indexed="64"/>
      </patternFill>
    </fill>
  </fills>
  <borders count="11">
    <border>
      <left/>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9">
    <xf numFmtId="0" fontId="0" fillId="0" borderId="0"/>
    <xf numFmtId="0" fontId="2" fillId="0" borderId="0"/>
    <xf numFmtId="0" fontId="3" fillId="0" borderId="0"/>
    <xf numFmtId="0" fontId="4" fillId="0" borderId="0"/>
    <xf numFmtId="0" fontId="1" fillId="0" borderId="0"/>
    <xf numFmtId="0" fontId="14" fillId="0" borderId="0"/>
    <xf numFmtId="0" fontId="14" fillId="0" borderId="0"/>
    <xf numFmtId="9" fontId="14" fillId="0" borderId="0" applyFont="0" applyFill="0" applyBorder="0" applyAlignment="0" applyProtection="0"/>
    <xf numFmtId="0" fontId="2" fillId="0" borderId="0"/>
  </cellStyleXfs>
  <cellXfs count="129">
    <xf numFmtId="0" fontId="0" fillId="0" borderId="0" xfId="0"/>
    <xf numFmtId="0" fontId="6" fillId="0" borderId="0" xfId="3" applyFont="1" applyFill="1"/>
    <xf numFmtId="14" fontId="0" fillId="0" borderId="0" xfId="0" applyNumberFormat="1"/>
    <xf numFmtId="0" fontId="10" fillId="0" borderId="0" xfId="3" applyFont="1" applyFill="1"/>
    <xf numFmtId="0" fontId="10" fillId="0" borderId="0" xfId="1" applyFont="1" applyFill="1" applyBorder="1" applyAlignment="1">
      <alignment horizontal="center"/>
    </xf>
    <xf numFmtId="0" fontId="0" fillId="0" borderId="0" xfId="0" applyAlignment="1">
      <alignment wrapText="1"/>
    </xf>
    <xf numFmtId="166" fontId="0" fillId="0" borderId="0" xfId="0" applyNumberFormat="1"/>
    <xf numFmtId="0" fontId="9" fillId="0" borderId="0" xfId="1" applyFont="1" applyFill="1" applyAlignment="1" applyProtection="1">
      <alignment horizontal="left"/>
      <protection hidden="1"/>
    </xf>
    <xf numFmtId="0" fontId="10" fillId="0" borderId="0" xfId="1" applyFont="1" applyFill="1" applyAlignment="1" applyProtection="1">
      <alignment horizontal="center"/>
      <protection hidden="1"/>
    </xf>
    <xf numFmtId="0" fontId="10" fillId="0" borderId="0" xfId="1" applyFont="1" applyFill="1" applyProtection="1">
      <protection hidden="1"/>
    </xf>
    <xf numFmtId="0" fontId="11" fillId="0" borderId="0" xfId="1" applyFont="1" applyFill="1" applyProtection="1">
      <protection hidden="1"/>
    </xf>
    <xf numFmtId="165" fontId="10" fillId="0" borderId="0" xfId="1" applyNumberFormat="1" applyFont="1" applyFill="1" applyAlignment="1" applyProtection="1">
      <alignment horizontal="center"/>
      <protection hidden="1"/>
    </xf>
    <xf numFmtId="164" fontId="10" fillId="0" borderId="0" xfId="1" applyNumberFormat="1" applyFont="1" applyFill="1" applyAlignment="1" applyProtection="1">
      <alignment horizontal="center"/>
      <protection hidden="1"/>
    </xf>
    <xf numFmtId="164" fontId="10" fillId="0" borderId="0" xfId="1" applyNumberFormat="1" applyFont="1" applyFill="1" applyBorder="1" applyAlignment="1" applyProtection="1">
      <alignment horizontal="center"/>
      <protection hidden="1"/>
    </xf>
    <xf numFmtId="0" fontId="10" fillId="0" borderId="0" xfId="1" applyFont="1" applyFill="1" applyBorder="1" applyAlignment="1" applyProtection="1">
      <alignment horizontal="center"/>
      <protection hidden="1"/>
    </xf>
    <xf numFmtId="0" fontId="10" fillId="0" borderId="0" xfId="1" applyFont="1" applyFill="1" applyBorder="1" applyProtection="1">
      <protection hidden="1"/>
    </xf>
    <xf numFmtId="49" fontId="10" fillId="0" borderId="0" xfId="1" applyNumberFormat="1" applyFont="1" applyFill="1" applyAlignment="1" applyProtection="1">
      <alignment horizontal="center"/>
      <protection hidden="1"/>
    </xf>
    <xf numFmtId="49" fontId="10" fillId="0" borderId="0" xfId="1" applyNumberFormat="1" applyFont="1" applyFill="1" applyBorder="1" applyAlignment="1" applyProtection="1">
      <alignment horizontal="center"/>
      <protection hidden="1"/>
    </xf>
    <xf numFmtId="0" fontId="10" fillId="2" borderId="0" xfId="3" applyFont="1" applyFill="1" applyAlignment="1">
      <alignment horizontal="center"/>
    </xf>
    <xf numFmtId="0" fontId="10" fillId="2" borderId="0" xfId="3" applyFont="1" applyFill="1"/>
    <xf numFmtId="0" fontId="10" fillId="2" borderId="0" xfId="3" applyFont="1" applyFill="1" applyAlignment="1" applyProtection="1">
      <alignment horizontal="center"/>
      <protection hidden="1"/>
    </xf>
    <xf numFmtId="0" fontId="10" fillId="3" borderId="0" xfId="3" applyFont="1" applyFill="1"/>
    <xf numFmtId="0" fontId="12" fillId="0" borderId="0" xfId="1" applyFont="1" applyFill="1" applyBorder="1" applyAlignment="1" applyProtection="1">
      <alignment horizontal="left"/>
      <protection hidden="1"/>
    </xf>
    <xf numFmtId="14" fontId="0" fillId="0" borderId="0" xfId="0" applyNumberFormat="1" applyAlignment="1">
      <alignment vertical="top"/>
    </xf>
    <xf numFmtId="0" fontId="0" fillId="0" borderId="0" xfId="0" applyAlignment="1">
      <alignment vertical="top"/>
    </xf>
    <xf numFmtId="0" fontId="0" fillId="0" borderId="0" xfId="0" applyAlignment="1">
      <alignment vertical="top" wrapText="1"/>
    </xf>
    <xf numFmtId="0" fontId="7" fillId="0" borderId="0" xfId="1" applyFont="1" applyFill="1" applyBorder="1" applyAlignment="1" applyProtection="1">
      <alignment horizontal="left" wrapText="1"/>
      <protection hidden="1"/>
    </xf>
    <xf numFmtId="10" fontId="10" fillId="2" borderId="0" xfId="3" applyNumberFormat="1" applyFont="1" applyFill="1" applyAlignment="1">
      <alignment horizontal="left"/>
    </xf>
    <xf numFmtId="0" fontId="6" fillId="0" borderId="0" xfId="0" applyFont="1" applyBorder="1" applyAlignment="1" applyProtection="1">
      <alignment wrapText="1"/>
      <protection hidden="1"/>
    </xf>
    <xf numFmtId="0" fontId="6" fillId="2" borderId="0" xfId="3" applyFont="1" applyFill="1" applyAlignment="1" applyProtection="1">
      <alignment horizontal="center"/>
      <protection hidden="1"/>
    </xf>
    <xf numFmtId="0" fontId="6" fillId="2" borderId="0" xfId="3" applyFont="1" applyFill="1" applyAlignment="1">
      <alignment horizontal="center"/>
    </xf>
    <xf numFmtId="0" fontId="6" fillId="2" borderId="0" xfId="3" applyFont="1" applyFill="1"/>
    <xf numFmtId="0" fontId="6" fillId="3" borderId="0" xfId="3" applyFont="1" applyFill="1"/>
    <xf numFmtId="0" fontId="8" fillId="0" borderId="0" xfId="0" applyFont="1" applyBorder="1" applyAlignment="1" applyProtection="1">
      <alignment wrapText="1"/>
      <protection hidden="1"/>
    </xf>
    <xf numFmtId="0" fontId="9" fillId="0" borderId="4" xfId="1" applyFont="1" applyFill="1" applyBorder="1" applyAlignment="1" applyProtection="1">
      <alignment horizontal="center"/>
      <protection hidden="1"/>
    </xf>
    <xf numFmtId="164" fontId="10" fillId="0" borderId="4" xfId="1" applyNumberFormat="1" applyFont="1" applyFill="1" applyBorder="1" applyAlignment="1" applyProtection="1">
      <alignment horizontal="center" wrapText="1"/>
      <protection hidden="1"/>
    </xf>
    <xf numFmtId="0" fontId="9" fillId="2" borderId="4" xfId="3" applyFont="1" applyFill="1" applyBorder="1" applyAlignment="1">
      <alignment horizontal="center"/>
    </xf>
    <xf numFmtId="3" fontId="5" fillId="2" borderId="4" xfId="1" applyNumberFormat="1" applyFont="1" applyFill="1" applyBorder="1" applyAlignment="1" applyProtection="1">
      <alignment horizontal="center" wrapText="1"/>
      <protection hidden="1"/>
    </xf>
    <xf numFmtId="3" fontId="5" fillId="2" borderId="4" xfId="1" applyNumberFormat="1" applyFont="1" applyFill="1" applyBorder="1" applyAlignment="1" applyProtection="1">
      <alignment wrapText="1"/>
      <protection hidden="1"/>
    </xf>
    <xf numFmtId="164" fontId="5" fillId="2" borderId="4" xfId="0" applyNumberFormat="1" applyFont="1" applyFill="1" applyBorder="1" applyAlignment="1" applyProtection="1">
      <alignment horizontal="center"/>
      <protection hidden="1"/>
    </xf>
    <xf numFmtId="0" fontId="9" fillId="3" borderId="4" xfId="3" applyFont="1" applyFill="1" applyBorder="1" applyAlignment="1">
      <alignment horizontal="center"/>
    </xf>
    <xf numFmtId="3" fontId="5" fillId="3" borderId="4" xfId="1" applyNumberFormat="1" applyFont="1" applyFill="1" applyBorder="1" applyAlignment="1" applyProtection="1">
      <alignment horizontal="center" wrapText="1"/>
      <protection hidden="1"/>
    </xf>
    <xf numFmtId="3" fontId="5" fillId="3" borderId="4" xfId="1" applyNumberFormat="1" applyFont="1" applyFill="1" applyBorder="1" applyAlignment="1" applyProtection="1">
      <alignment wrapText="1"/>
      <protection hidden="1"/>
    </xf>
    <xf numFmtId="164" fontId="5" fillId="3" borderId="4" xfId="0" applyNumberFormat="1" applyFont="1" applyFill="1" applyBorder="1" applyAlignment="1" applyProtection="1">
      <alignment horizontal="center"/>
      <protection hidden="1"/>
    </xf>
    <xf numFmtId="49" fontId="10" fillId="2" borderId="0" xfId="3" applyNumberFormat="1" applyFont="1" applyFill="1"/>
    <xf numFmtId="164" fontId="10" fillId="2" borderId="0" xfId="3" applyNumberFormat="1" applyFont="1" applyFill="1" applyAlignment="1">
      <alignment horizontal="center"/>
    </xf>
    <xf numFmtId="0" fontId="10" fillId="3" borderId="0" xfId="3" applyFont="1" applyFill="1" applyAlignment="1" applyProtection="1">
      <alignment horizontal="center"/>
      <protection hidden="1"/>
    </xf>
    <xf numFmtId="49" fontId="10" fillId="3" borderId="0" xfId="3" applyNumberFormat="1" applyFont="1" applyFill="1"/>
    <xf numFmtId="166" fontId="10" fillId="3" borderId="0" xfId="3" applyNumberFormat="1" applyFont="1" applyFill="1"/>
    <xf numFmtId="165" fontId="10" fillId="0" borderId="0" xfId="1" applyNumberFormat="1" applyFont="1" applyFill="1" applyBorder="1" applyAlignment="1" applyProtection="1">
      <alignment horizontal="center"/>
      <protection hidden="1"/>
    </xf>
    <xf numFmtId="165" fontId="10" fillId="2" borderId="0" xfId="3" applyNumberFormat="1" applyFont="1" applyFill="1" applyAlignment="1">
      <alignment horizontal="center"/>
    </xf>
    <xf numFmtId="0" fontId="10" fillId="3" borderId="0" xfId="3" applyFont="1" applyFill="1" applyAlignment="1">
      <alignment horizontal="center"/>
    </xf>
    <xf numFmtId="166" fontId="10" fillId="3" borderId="0" xfId="3" applyNumberFormat="1" applyFont="1" applyFill="1" applyAlignment="1">
      <alignment horizontal="center"/>
    </xf>
    <xf numFmtId="0" fontId="6" fillId="2" borderId="0" xfId="0" applyFont="1" applyFill="1"/>
    <xf numFmtId="0" fontId="10" fillId="3" borderId="0" xfId="3" applyFont="1" applyFill="1" applyAlignment="1">
      <alignment horizontal="left"/>
    </xf>
    <xf numFmtId="0" fontId="6" fillId="0" borderId="0" xfId="0" applyFont="1"/>
    <xf numFmtId="49" fontId="10" fillId="0" borderId="0" xfId="1" applyNumberFormat="1" applyFont="1" applyFill="1" applyBorder="1" applyAlignment="1">
      <alignment horizontal="center"/>
    </xf>
    <xf numFmtId="0" fontId="10" fillId="0" borderId="0" xfId="1" applyFont="1" applyFill="1" applyBorder="1"/>
    <xf numFmtId="164" fontId="10" fillId="0" borderId="0" xfId="1" applyNumberFormat="1" applyFont="1" applyFill="1" applyBorder="1" applyAlignment="1">
      <alignment horizontal="center"/>
    </xf>
    <xf numFmtId="0" fontId="9" fillId="0" borderId="0" xfId="1" applyFont="1" applyFill="1" applyBorder="1" applyAlignment="1" applyProtection="1">
      <alignment horizontal="center"/>
      <protection hidden="1"/>
    </xf>
    <xf numFmtId="164" fontId="10" fillId="0" borderId="0" xfId="1" applyNumberFormat="1" applyFont="1" applyFill="1" applyBorder="1" applyAlignment="1" applyProtection="1">
      <alignment horizontal="center" wrapText="1"/>
      <protection hidden="1"/>
    </xf>
    <xf numFmtId="49" fontId="10" fillId="2" borderId="0" xfId="3" applyNumberFormat="1" applyFont="1" applyFill="1" applyAlignment="1">
      <alignment horizontal="center"/>
    </xf>
    <xf numFmtId="0" fontId="5" fillId="0" borderId="0" xfId="1" applyFont="1" applyFill="1" applyBorder="1" applyAlignment="1" applyProtection="1">
      <alignment wrapText="1"/>
      <protection hidden="1"/>
    </xf>
    <xf numFmtId="168" fontId="5" fillId="0" borderId="0" xfId="1" applyNumberFormat="1" applyFont="1" applyFill="1" applyBorder="1" applyAlignment="1" applyProtection="1">
      <alignment horizontal="left" wrapText="1"/>
      <protection hidden="1"/>
    </xf>
    <xf numFmtId="0" fontId="5" fillId="0" borderId="0" xfId="1" applyFont="1" applyFill="1" applyBorder="1" applyAlignment="1" applyProtection="1">
      <protection hidden="1"/>
    </xf>
    <xf numFmtId="10" fontId="5" fillId="0" borderId="0" xfId="1" applyNumberFormat="1" applyFont="1" applyFill="1" applyBorder="1" applyAlignment="1" applyProtection="1">
      <alignment wrapText="1"/>
      <protection hidden="1"/>
    </xf>
    <xf numFmtId="0" fontId="6" fillId="2" borderId="0" xfId="3" applyFont="1" applyFill="1" applyAlignment="1">
      <alignment horizontal="left"/>
    </xf>
    <xf numFmtId="2" fontId="6" fillId="2" borderId="0" xfId="0" applyNumberFormat="1" applyFont="1" applyFill="1" applyAlignment="1" applyProtection="1">
      <alignment horizontal="left"/>
      <protection hidden="1"/>
    </xf>
    <xf numFmtId="0" fontId="10" fillId="0" borderId="0" xfId="3" applyFont="1" applyFill="1" applyAlignment="1">
      <alignment horizontal="center"/>
    </xf>
    <xf numFmtId="2" fontId="10" fillId="2" borderId="0" xfId="3" applyNumberFormat="1" applyFont="1" applyFill="1"/>
    <xf numFmtId="0" fontId="2" fillId="0" borderId="0" xfId="8"/>
    <xf numFmtId="2" fontId="10" fillId="3" borderId="0" xfId="3" applyNumberFormat="1" applyFont="1" applyFill="1"/>
    <xf numFmtId="166" fontId="10" fillId="3" borderId="0" xfId="3" applyNumberFormat="1" applyFont="1" applyFill="1" applyAlignment="1">
      <alignment horizontal="right"/>
    </xf>
    <xf numFmtId="166" fontId="6" fillId="2" borderId="0" xfId="3" applyNumberFormat="1" applyFont="1" applyFill="1" applyAlignment="1">
      <alignment horizontal="center"/>
    </xf>
    <xf numFmtId="0" fontId="15" fillId="0" borderId="0" xfId="1" applyFont="1" applyFill="1" applyBorder="1" applyAlignment="1" applyProtection="1">
      <alignment horizontal="left"/>
      <protection hidden="1"/>
    </xf>
    <xf numFmtId="168" fontId="15" fillId="0" borderId="0" xfId="1" applyNumberFormat="1" applyFont="1" applyFill="1" applyBorder="1" applyAlignment="1" applyProtection="1">
      <alignment horizontal="left" wrapText="1"/>
      <protection hidden="1"/>
    </xf>
    <xf numFmtId="49" fontId="10" fillId="3" borderId="0" xfId="3" applyNumberFormat="1" applyFont="1" applyFill="1" applyAlignment="1">
      <alignment horizontal="center"/>
    </xf>
    <xf numFmtId="167" fontId="10" fillId="3" borderId="0" xfId="3" applyNumberFormat="1" applyFont="1" applyFill="1"/>
    <xf numFmtId="169" fontId="6" fillId="2" borderId="0" xfId="0" applyNumberFormat="1" applyFont="1" applyFill="1" applyAlignment="1" applyProtection="1">
      <alignment horizontal="left"/>
      <protection hidden="1"/>
    </xf>
    <xf numFmtId="14" fontId="6" fillId="2" borderId="0" xfId="0" applyNumberFormat="1" applyFont="1" applyFill="1" applyAlignment="1" applyProtection="1">
      <alignment horizontal="left"/>
      <protection hidden="1"/>
    </xf>
    <xf numFmtId="0" fontId="6" fillId="2" borderId="0" xfId="0" applyFont="1" applyFill="1" applyAlignment="1" applyProtection="1">
      <alignment horizontal="left"/>
      <protection hidden="1"/>
    </xf>
    <xf numFmtId="165" fontId="6" fillId="2" borderId="0" xfId="0" applyNumberFormat="1" applyFont="1" applyFill="1" applyAlignment="1">
      <alignment horizontal="center"/>
    </xf>
    <xf numFmtId="165" fontId="6" fillId="0" borderId="0" xfId="0" applyNumberFormat="1" applyFont="1" applyAlignment="1" applyProtection="1">
      <alignment horizontal="center"/>
      <protection hidden="1"/>
    </xf>
    <xf numFmtId="0" fontId="6" fillId="0" borderId="0" xfId="0" applyFont="1" applyAlignment="1" applyProtection="1">
      <alignment horizontal="left"/>
      <protection hidden="1"/>
    </xf>
    <xf numFmtId="166" fontId="6" fillId="0" borderId="0" xfId="0" applyNumberFormat="1" applyFont="1" applyProtection="1">
      <protection hidden="1"/>
    </xf>
    <xf numFmtId="0" fontId="10" fillId="0" borderId="0" xfId="1" applyFont="1" applyFill="1" applyBorder="1" applyAlignment="1">
      <alignment horizontal="left"/>
    </xf>
    <xf numFmtId="0" fontId="9" fillId="0" borderId="0" xfId="1" applyFont="1" applyFill="1" applyBorder="1" applyAlignment="1">
      <alignment horizontal="left"/>
    </xf>
    <xf numFmtId="0" fontId="10" fillId="2" borderId="4" xfId="3" applyFont="1" applyFill="1" applyBorder="1" applyAlignment="1">
      <alignment horizontal="center"/>
    </xf>
    <xf numFmtId="0" fontId="10" fillId="2" borderId="4" xfId="3" applyFont="1" applyFill="1" applyBorder="1" applyAlignment="1" applyProtection="1">
      <alignment horizontal="center"/>
      <protection hidden="1"/>
    </xf>
    <xf numFmtId="0" fontId="10" fillId="2" borderId="4" xfId="3" applyFont="1" applyFill="1" applyBorder="1"/>
    <xf numFmtId="0" fontId="10" fillId="3" borderId="4" xfId="3" applyFont="1" applyFill="1" applyBorder="1"/>
    <xf numFmtId="14" fontId="6" fillId="2" borderId="0" xfId="0" applyNumberFormat="1" applyFont="1" applyFill="1" applyAlignment="1" applyProtection="1">
      <alignment horizontal="right"/>
      <protection hidden="1"/>
    </xf>
    <xf numFmtId="2" fontId="6" fillId="2" borderId="0" xfId="0" applyNumberFormat="1" applyFont="1" applyFill="1" applyAlignment="1" applyProtection="1">
      <alignment horizontal="right"/>
      <protection hidden="1"/>
    </xf>
    <xf numFmtId="10" fontId="10" fillId="2" borderId="0" xfId="3" applyNumberFormat="1" applyFont="1" applyFill="1" applyAlignment="1">
      <alignment horizontal="right"/>
    </xf>
    <xf numFmtId="0" fontId="6" fillId="0" borderId="0" xfId="0" applyFont="1" applyAlignment="1">
      <alignment vertical="center"/>
    </xf>
    <xf numFmtId="0" fontId="9" fillId="0" borderId="0" xfId="1" applyFont="1" applyFill="1" applyBorder="1" applyAlignment="1">
      <alignment horizontal="center"/>
    </xf>
    <xf numFmtId="49" fontId="10" fillId="0" borderId="0" xfId="1" applyNumberFormat="1" applyFont="1" applyFill="1" applyBorder="1" applyAlignment="1">
      <alignment horizontal="left"/>
    </xf>
    <xf numFmtId="49" fontId="9" fillId="0" borderId="0" xfId="1" applyNumberFormat="1" applyFont="1" applyFill="1" applyBorder="1" applyAlignment="1">
      <alignment horizontal="left"/>
    </xf>
    <xf numFmtId="0" fontId="10" fillId="0" borderId="5" xfId="1" applyFont="1" applyFill="1" applyBorder="1" applyAlignment="1" applyProtection="1">
      <alignment horizontal="center" wrapText="1"/>
      <protection hidden="1"/>
    </xf>
    <xf numFmtId="0" fontId="10" fillId="0" borderId="6" xfId="1" applyFont="1" applyFill="1" applyBorder="1" applyAlignment="1" applyProtection="1">
      <protection hidden="1"/>
    </xf>
    <xf numFmtId="0" fontId="10" fillId="0" borderId="6" xfId="1" applyFont="1" applyFill="1" applyBorder="1" applyAlignment="1" applyProtection="1">
      <alignment horizontal="center" wrapText="1"/>
      <protection hidden="1"/>
    </xf>
    <xf numFmtId="49" fontId="10" fillId="0" borderId="6" xfId="1" applyNumberFormat="1" applyFont="1" applyFill="1" applyBorder="1" applyAlignment="1" applyProtection="1">
      <alignment horizontal="center" wrapText="1"/>
      <protection hidden="1"/>
    </xf>
    <xf numFmtId="164" fontId="10" fillId="0" borderId="6" xfId="0" applyNumberFormat="1" applyFont="1" applyFill="1" applyBorder="1" applyAlignment="1" applyProtection="1">
      <alignment horizontal="center"/>
      <protection hidden="1"/>
    </xf>
    <xf numFmtId="164" fontId="10" fillId="0" borderId="7" xfId="0" applyNumberFormat="1" applyFont="1" applyFill="1" applyBorder="1" applyAlignment="1" applyProtection="1">
      <alignment horizontal="center"/>
      <protection hidden="1"/>
    </xf>
    <xf numFmtId="0" fontId="10" fillId="0" borderId="8" xfId="1" applyFont="1" applyFill="1" applyBorder="1" applyAlignment="1" applyProtection="1">
      <alignment horizontal="center" wrapText="1"/>
      <protection hidden="1"/>
    </xf>
    <xf numFmtId="0" fontId="10" fillId="0" borderId="1" xfId="1" applyFont="1" applyFill="1" applyBorder="1" applyAlignment="1" applyProtection="1">
      <protection hidden="1"/>
    </xf>
    <xf numFmtId="0" fontId="10" fillId="0" borderId="1" xfId="1" applyFont="1" applyFill="1" applyBorder="1" applyAlignment="1" applyProtection="1">
      <alignment horizontal="center" wrapText="1"/>
      <protection hidden="1"/>
    </xf>
    <xf numFmtId="49" fontId="10" fillId="0" borderId="1" xfId="1" applyNumberFormat="1" applyFont="1" applyFill="1" applyBorder="1" applyAlignment="1" applyProtection="1">
      <alignment horizontal="center" wrapText="1"/>
      <protection hidden="1"/>
    </xf>
    <xf numFmtId="164" fontId="10" fillId="0" borderId="1" xfId="0" applyNumberFormat="1" applyFont="1" applyFill="1" applyBorder="1" applyAlignment="1" applyProtection="1">
      <alignment horizontal="center"/>
      <protection hidden="1"/>
    </xf>
    <xf numFmtId="164" fontId="10" fillId="0" borderId="9" xfId="0" applyNumberFormat="1" applyFont="1" applyFill="1" applyBorder="1" applyAlignment="1" applyProtection="1">
      <alignment horizontal="center"/>
      <protection hidden="1"/>
    </xf>
    <xf numFmtId="3" fontId="5" fillId="0" borderId="10" xfId="1" applyNumberFormat="1" applyFont="1" applyFill="1" applyBorder="1" applyAlignment="1" applyProtection="1">
      <alignment horizontal="center" wrapText="1"/>
      <protection hidden="1"/>
    </xf>
    <xf numFmtId="3" fontId="5" fillId="0" borderId="2" xfId="1" applyNumberFormat="1" applyFont="1" applyFill="1" applyBorder="1" applyAlignment="1" applyProtection="1">
      <protection hidden="1"/>
    </xf>
    <xf numFmtId="3" fontId="5" fillId="0" borderId="2" xfId="1" applyNumberFormat="1" applyFont="1" applyFill="1" applyBorder="1" applyAlignment="1" applyProtection="1">
      <alignment horizontal="center" wrapText="1"/>
      <protection hidden="1"/>
    </xf>
    <xf numFmtId="49" fontId="5" fillId="0" borderId="2" xfId="1" applyNumberFormat="1" applyFont="1" applyFill="1" applyBorder="1" applyAlignment="1" applyProtection="1">
      <alignment horizontal="center" wrapText="1"/>
      <protection hidden="1"/>
    </xf>
    <xf numFmtId="164" fontId="5" fillId="0" borderId="2" xfId="0" applyNumberFormat="1" applyFont="1" applyFill="1" applyBorder="1" applyAlignment="1" applyProtection="1">
      <alignment horizontal="center"/>
      <protection hidden="1"/>
    </xf>
    <xf numFmtId="164" fontId="5" fillId="0" borderId="3" xfId="0" applyNumberFormat="1" applyFont="1" applyFill="1" applyBorder="1" applyAlignment="1" applyProtection="1">
      <alignment horizontal="center"/>
      <protection hidden="1"/>
    </xf>
    <xf numFmtId="0" fontId="10" fillId="2" borderId="0" xfId="3" applyFont="1" applyFill="1" applyAlignment="1">
      <alignment horizontal="left"/>
    </xf>
    <xf numFmtId="0" fontId="16" fillId="0" borderId="0" xfId="0" applyFont="1" applyAlignment="1">
      <alignment horizontal="left" vertical="center" indent="1"/>
    </xf>
    <xf numFmtId="0" fontId="16" fillId="4" borderId="0" xfId="0" applyFont="1" applyFill="1" applyAlignment="1">
      <alignment horizontal="left" vertical="center" indent="1"/>
    </xf>
    <xf numFmtId="165" fontId="10" fillId="3" borderId="0" xfId="3" applyNumberFormat="1" applyFont="1" applyFill="1"/>
    <xf numFmtId="165" fontId="10" fillId="3" borderId="0" xfId="3" applyNumberFormat="1" applyFont="1" applyFill="1" applyAlignment="1">
      <alignment horizontal="right"/>
    </xf>
    <xf numFmtId="0" fontId="5" fillId="0" borderId="0" xfId="1" applyFont="1" applyFill="1" applyBorder="1" applyAlignment="1" applyProtection="1">
      <alignment horizontal="left" wrapText="1"/>
      <protection hidden="1"/>
    </xf>
    <xf numFmtId="0" fontId="6" fillId="0" borderId="0" xfId="0" applyFont="1" applyFill="1" applyBorder="1" applyAlignment="1" applyProtection="1">
      <alignment wrapText="1"/>
      <protection hidden="1"/>
    </xf>
    <xf numFmtId="0" fontId="10" fillId="0" borderId="0" xfId="1" applyFont="1" applyFill="1" applyBorder="1" applyAlignment="1" applyProtection="1">
      <alignment wrapText="1"/>
      <protection hidden="1"/>
    </xf>
    <xf numFmtId="0" fontId="10" fillId="0" borderId="0" xfId="1" applyFont="1" applyFill="1" applyBorder="1" applyAlignment="1">
      <alignment horizontal="left" wrapText="1"/>
    </xf>
    <xf numFmtId="0" fontId="10" fillId="0" borderId="4" xfId="1" applyFont="1" applyFill="1" applyBorder="1" applyAlignment="1" applyProtection="1">
      <alignment wrapText="1"/>
      <protection hidden="1"/>
    </xf>
    <xf numFmtId="0" fontId="0" fillId="0" borderId="0" xfId="0" applyAlignment="1">
      <alignment horizontal="left" vertical="top"/>
    </xf>
    <xf numFmtId="0" fontId="0" fillId="0" borderId="0" xfId="0" applyAlignment="1">
      <alignment horizontal="center" vertical="top"/>
    </xf>
    <xf numFmtId="14" fontId="0" fillId="0" borderId="0" xfId="0" applyNumberFormat="1" applyAlignment="1">
      <alignment horizontal="center" vertical="top"/>
    </xf>
  </cellXfs>
  <cellStyles count="9">
    <cellStyle name="Normal" xfId="0" builtinId="0"/>
    <cellStyle name="Normal 2" xfId="2" xr:uid="{00000000-0005-0000-0000-000001000000}"/>
    <cellStyle name="Normal 2 2" xfId="8" xr:uid="{1C578865-AD9A-427E-BA10-543D748BAE90}"/>
    <cellStyle name="Normal 3" xfId="3" xr:uid="{00000000-0005-0000-0000-000002000000}"/>
    <cellStyle name="Normal 3 2" xfId="6" xr:uid="{97F2FC4A-5ABD-45A1-BF91-C61E5CFBFB6B}"/>
    <cellStyle name="Normal 4" xfId="4" xr:uid="{944189FB-417E-451C-A93E-821E42E8F5A2}"/>
    <cellStyle name="Normal 5" xfId="5" xr:uid="{8808B3C1-07FD-40DD-9526-F0E91DB35C52}"/>
    <cellStyle name="Normal_Book2" xfId="1" xr:uid="{00000000-0005-0000-0000-000003000000}"/>
    <cellStyle name="Percent 2" xfId="7" xr:uid="{3B06E41E-85FC-47B6-8615-51F5BA411D94}"/>
  </cellStyles>
  <dxfs count="23">
    <dxf>
      <numFmt numFmtId="165" formatCode="&quot;$&quot;#,##0"/>
    </dxf>
    <dxf>
      <numFmt numFmtId="166" formatCode="&quot;$&quot;#,##0.000"/>
    </dxf>
    <dxf>
      <numFmt numFmtId="165" formatCode="&quot;$&quot;#,##0"/>
    </dxf>
    <dxf>
      <numFmt numFmtId="166" formatCode="&quot;$&quot;#,##0.000"/>
    </dxf>
    <dxf>
      <numFmt numFmtId="165" formatCode="&quot;$&quot;#,##0"/>
    </dxf>
    <dxf>
      <numFmt numFmtId="166" formatCode="&quot;$&quot;#,##0.000"/>
    </dxf>
    <dxf>
      <numFmt numFmtId="166" formatCode="&quot;$&quot;#,##0.000"/>
    </dxf>
    <dxf>
      <numFmt numFmtId="165" formatCode="&quot;$&quot;#,##0"/>
    </dxf>
    <dxf>
      <font>
        <color theme="0"/>
      </font>
    </dxf>
    <dxf>
      <numFmt numFmtId="165" formatCode="&quot;$&quot;#,##0"/>
    </dxf>
    <dxf>
      <numFmt numFmtId="166" formatCode="&quot;$&quot;#,##0.000"/>
    </dxf>
    <dxf>
      <numFmt numFmtId="165" formatCode="&quot;$&quot;#,##0"/>
    </dxf>
    <dxf>
      <numFmt numFmtId="166" formatCode="&quot;$&quot;#,##0.000"/>
    </dxf>
    <dxf>
      <numFmt numFmtId="165" formatCode="&quot;$&quot;#,##0"/>
    </dxf>
    <dxf>
      <numFmt numFmtId="166" formatCode="&quot;$&quot;#,##0.000"/>
    </dxf>
    <dxf>
      <numFmt numFmtId="166" formatCode="&quot;$&quot;#,##0.000"/>
    </dxf>
    <dxf>
      <numFmt numFmtId="165" formatCode="&quot;$&quot;#,##0"/>
    </dxf>
    <dxf>
      <font>
        <color theme="0"/>
      </font>
    </dxf>
    <dxf>
      <numFmt numFmtId="165" formatCode="&quot;$&quot;#,##0"/>
    </dxf>
    <dxf>
      <numFmt numFmtId="166" formatCode="&quot;$&quot;#,##0.000"/>
    </dxf>
    <dxf>
      <numFmt numFmtId="166" formatCode="&quot;$&quot;#,##0.000"/>
    </dxf>
    <dxf>
      <numFmt numFmtId="165" formatCode="&quot;$&quot;#,##0"/>
    </dxf>
    <dxf>
      <font>
        <color theme="0"/>
      </font>
    </dxf>
  </dxfs>
  <tableStyles count="1" defaultTableStyle="TableStyleMedium2" defaultPivotStyle="PivotStyleLight16">
    <tableStyle name="Invisible" pivot="0" table="0" count="0" xr9:uid="{D79AA46E-CA25-46DD-A079-FF4FC4F11505}"/>
  </tableStyles>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gagnotk0\Local%20Settings\Temporary%20Internet%20Files\OLK57\CELxscost2004.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M:\Human%20Resources\LABOR\0%20Compensation\1%20Salary%20Plans\1%20CBT\2025%20Negotiations\2025%20-%202027%20CBT%20Schedule%20and%20Costing.xlsx" TargetMode="External"/><Relationship Id="rId1" Type="http://schemas.openxmlformats.org/officeDocument/2006/relationships/externalLinkPath" Target="/Human%20Resources/LABOR/0%20Compensation/1%20Salary%20Plans/1%20CBT/2025%20Negotiations/2025%20-%202027%20CBT%20Schedule%20and%20Cos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 List CBT"/>
      <sheetName val="Outside rate comp"/>
      <sheetName val="CEL2004"/>
      <sheetName val="Pension $"/>
      <sheetName val="Sick and Severence"/>
      <sheetName val="Hours worked"/>
      <sheetName val="MERF 2004 levy"/>
      <sheetName val="Emp List CEL 05-17-04"/>
      <sheetName val="2004 Schedule"/>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18"/>
      <sheetName val="2019"/>
      <sheetName val="2020"/>
      <sheetName val="2021"/>
      <sheetName val="2022"/>
      <sheetName val="2023"/>
      <sheetName val="Summary"/>
      <sheetName val="9-15-2023"/>
      <sheetName val="5-1-2024"/>
      <sheetName val="5-1-2025"/>
      <sheetName val="5-1-2026"/>
      <sheetName val="5-1-2027"/>
      <sheetName val="Costing Emp Detail"/>
      <sheetName val="Months"/>
      <sheetName val="Notes"/>
    </sheetNames>
    <sheetDataSet>
      <sheetData sheetId="0" refreshError="1"/>
      <sheetData sheetId="1">
        <row r="8">
          <cell r="D8" t="str">
            <v>01400C</v>
          </cell>
        </row>
      </sheetData>
      <sheetData sheetId="2">
        <row r="1">
          <cell r="N1">
            <v>1.0249999999999999</v>
          </cell>
        </row>
      </sheetData>
      <sheetData sheetId="3">
        <row r="1">
          <cell r="N1">
            <v>1.0249999999999999</v>
          </cell>
        </row>
      </sheetData>
      <sheetData sheetId="4" refreshError="1"/>
      <sheetData sheetId="5" refreshError="1"/>
      <sheetData sheetId="6" refreshError="1"/>
      <sheetData sheetId="7" refreshError="1"/>
      <sheetData sheetId="8">
        <row r="9">
          <cell r="M9" t="str">
            <v>01400C</v>
          </cell>
        </row>
      </sheetData>
      <sheetData sheetId="9"/>
      <sheetData sheetId="10" refreshError="1"/>
      <sheetData sheetId="11" refreshError="1"/>
      <sheetData sheetId="12">
        <row r="26">
          <cell r="U26">
            <v>1193.4920000000002</v>
          </cell>
        </row>
      </sheetData>
      <sheetData sheetId="13"/>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11C62-B232-4A46-90F7-3300B9E29E43}">
  <sheetPr>
    <tabColor theme="1"/>
  </sheetPr>
  <dimension ref="A1:Y62"/>
  <sheetViews>
    <sheetView showGridLines="0" zoomScale="85" zoomScaleNormal="85" workbookViewId="0">
      <selection sqref="A1:D1"/>
    </sheetView>
  </sheetViews>
  <sheetFormatPr defaultColWidth="9.33203125" defaultRowHeight="15.6"/>
  <cols>
    <col min="1" max="1" width="20.33203125" style="4" customWidth="1"/>
    <col min="2" max="2" width="50.33203125" style="56" customWidth="1"/>
    <col min="3" max="3" width="10" style="4" customWidth="1"/>
    <col min="4" max="4" width="8.88671875" style="57" customWidth="1"/>
    <col min="5" max="5" width="7.6640625" style="4" customWidth="1"/>
    <col min="6" max="6" width="8.6640625" style="4" bestFit="1" customWidth="1"/>
    <col min="7" max="9" width="11.5546875" style="58" bestFit="1" customWidth="1"/>
    <col min="10" max="10" width="11.44140625" style="58" hidden="1" customWidth="1"/>
    <col min="11" max="11" width="23.109375" style="18" hidden="1" customWidth="1"/>
    <col min="12" max="12" width="12.44140625" style="18" hidden="1" customWidth="1"/>
    <col min="13" max="13" width="11.44140625" style="19" hidden="1" customWidth="1"/>
    <col min="14" max="14" width="31.33203125" style="19" hidden="1" customWidth="1"/>
    <col min="15" max="17" width="11.44140625" style="18" hidden="1" customWidth="1"/>
    <col min="18" max="18" width="11.44140625" style="3" hidden="1" customWidth="1"/>
    <col min="19" max="21" width="11.44140625" style="21" hidden="1" customWidth="1"/>
    <col min="22" max="22" width="31.33203125" style="21" hidden="1" customWidth="1"/>
    <col min="23" max="25" width="11.44140625" style="21" hidden="1" customWidth="1"/>
    <col min="26" max="29" width="11.44140625" style="3" customWidth="1"/>
    <col min="30" max="16384" width="9.33203125" style="3"/>
  </cols>
  <sheetData>
    <row r="1" spans="1:25">
      <c r="A1" s="124" t="s">
        <v>85</v>
      </c>
      <c r="B1" s="124"/>
      <c r="C1" s="124"/>
      <c r="D1" s="124"/>
      <c r="K1" s="78" t="s">
        <v>93</v>
      </c>
      <c r="L1" s="79" t="s">
        <v>98</v>
      </c>
    </row>
    <row r="2" spans="1:25">
      <c r="A2" s="121" t="s">
        <v>112</v>
      </c>
      <c r="B2" s="122"/>
      <c r="C2" s="122"/>
      <c r="D2" s="122"/>
      <c r="E2" s="122"/>
      <c r="F2" s="122"/>
      <c r="G2" s="122"/>
      <c r="H2" s="122"/>
      <c r="I2" s="122"/>
      <c r="J2" s="26"/>
      <c r="K2" s="66" t="s">
        <v>62</v>
      </c>
      <c r="L2" s="67" t="s">
        <v>98</v>
      </c>
    </row>
    <row r="3" spans="1:25" s="1" customFormat="1">
      <c r="A3" s="62" t="s">
        <v>91</v>
      </c>
      <c r="B3" s="63">
        <v>45292</v>
      </c>
      <c r="C3" s="65">
        <v>4.4999999999999998E-2</v>
      </c>
      <c r="D3" s="64" t="s">
        <v>99</v>
      </c>
      <c r="E3" s="62"/>
      <c r="F3" s="28"/>
      <c r="G3" s="28"/>
      <c r="H3" s="28"/>
      <c r="I3" s="28"/>
      <c r="J3" s="28"/>
      <c r="K3" s="80" t="s">
        <v>113</v>
      </c>
      <c r="L3" s="27">
        <f>1+C3</f>
        <v>1.0449999999999999</v>
      </c>
      <c r="M3" s="31"/>
      <c r="N3" s="31"/>
      <c r="O3" s="30"/>
      <c r="P3" s="30"/>
      <c r="Q3" s="30"/>
      <c r="S3" s="32"/>
      <c r="T3" s="32"/>
      <c r="U3" s="32"/>
      <c r="V3" s="32"/>
      <c r="W3" s="32"/>
      <c r="X3" s="32"/>
      <c r="Y3" s="32"/>
    </row>
    <row r="4" spans="1:25" s="1" customFormat="1">
      <c r="A4" s="74" t="s">
        <v>92</v>
      </c>
      <c r="B4" s="75">
        <v>45838</v>
      </c>
      <c r="C4" s="28"/>
      <c r="D4" s="28"/>
      <c r="E4" s="28"/>
      <c r="F4" s="28"/>
      <c r="G4" s="28"/>
      <c r="H4" s="28"/>
      <c r="I4" s="28"/>
      <c r="J4" s="28"/>
      <c r="K4" s="29"/>
      <c r="L4" s="30"/>
      <c r="M4" s="31"/>
      <c r="N4" s="31"/>
      <c r="O4" s="30"/>
      <c r="P4" s="30"/>
      <c r="Q4" s="30"/>
      <c r="S4" s="32"/>
      <c r="T4" s="32"/>
      <c r="U4" s="32"/>
      <c r="V4" s="32"/>
      <c r="W4" s="32"/>
      <c r="X4" s="32"/>
      <c r="Y4" s="32"/>
    </row>
    <row r="5" spans="1:25" s="1" customFormat="1">
      <c r="A5" s="74"/>
      <c r="B5" s="28"/>
      <c r="C5" s="28"/>
      <c r="D5" s="28"/>
      <c r="E5" s="28"/>
      <c r="F5" s="28"/>
      <c r="G5" s="28"/>
      <c r="H5" s="28"/>
      <c r="I5" s="28"/>
      <c r="J5" s="28"/>
      <c r="K5" s="29"/>
      <c r="L5" s="30"/>
      <c r="M5" s="31"/>
      <c r="N5" s="31"/>
      <c r="O5" s="30"/>
      <c r="P5" s="30"/>
      <c r="Q5" s="30"/>
      <c r="S5" s="32"/>
      <c r="T5" s="32"/>
      <c r="U5" s="32"/>
      <c r="V5" s="32"/>
      <c r="W5" s="32"/>
      <c r="X5" s="32"/>
      <c r="Y5" s="32"/>
    </row>
    <row r="6" spans="1:25" s="1" customFormat="1">
      <c r="K6" s="29"/>
      <c r="L6" s="30"/>
      <c r="M6" s="31"/>
      <c r="N6" s="31"/>
      <c r="O6" s="30"/>
      <c r="P6" s="30"/>
      <c r="Q6" s="30"/>
      <c r="S6" s="32"/>
      <c r="T6" s="32"/>
      <c r="U6" s="32"/>
      <c r="V6" s="32"/>
      <c r="W6" s="32"/>
      <c r="X6" s="32"/>
      <c r="Y6" s="32"/>
    </row>
    <row r="7" spans="1:25" s="1" customFormat="1">
      <c r="A7" s="22"/>
      <c r="B7" s="33"/>
      <c r="C7" s="33"/>
      <c r="D7" s="33"/>
      <c r="E7" s="33"/>
      <c r="F7" s="33"/>
      <c r="G7" s="33"/>
      <c r="H7" s="33"/>
      <c r="I7" s="33"/>
      <c r="J7" s="33"/>
      <c r="K7" s="29"/>
      <c r="L7" s="30"/>
      <c r="M7" s="31"/>
      <c r="N7" s="31"/>
      <c r="O7" s="30"/>
      <c r="P7" s="30"/>
      <c r="Q7" s="30"/>
      <c r="S7" s="32"/>
      <c r="T7" s="32"/>
      <c r="U7" s="32"/>
      <c r="V7" s="32"/>
      <c r="W7" s="32"/>
      <c r="X7" s="32"/>
      <c r="Y7" s="32"/>
    </row>
    <row r="8" spans="1:25" ht="16.2" thickBot="1">
      <c r="A8" s="59"/>
      <c r="B8" s="123"/>
      <c r="C8" s="123"/>
      <c r="D8" s="123"/>
      <c r="E8" s="123"/>
      <c r="F8" s="123"/>
      <c r="G8" s="60"/>
      <c r="H8" s="60"/>
      <c r="I8" s="60"/>
      <c r="J8" s="55"/>
      <c r="K8" s="20"/>
      <c r="O8" s="18">
        <v>4</v>
      </c>
      <c r="P8" s="18">
        <v>5</v>
      </c>
      <c r="Q8" s="18">
        <v>6</v>
      </c>
    </row>
    <row r="9" spans="1:25" ht="31.8" thickBot="1">
      <c r="A9" s="110" t="s">
        <v>0</v>
      </c>
      <c r="B9" s="111" t="s">
        <v>2</v>
      </c>
      <c r="C9" s="112" t="s">
        <v>90</v>
      </c>
      <c r="D9" s="113" t="s">
        <v>1</v>
      </c>
      <c r="E9" s="112" t="s">
        <v>118</v>
      </c>
      <c r="F9" s="112" t="s">
        <v>5</v>
      </c>
      <c r="G9" s="114" t="s">
        <v>6</v>
      </c>
      <c r="H9" s="114" t="s">
        <v>3</v>
      </c>
      <c r="I9" s="115" t="s">
        <v>4</v>
      </c>
      <c r="J9" s="55"/>
      <c r="K9" s="36" t="s">
        <v>59</v>
      </c>
      <c r="L9" s="37" t="s">
        <v>0</v>
      </c>
      <c r="M9" s="37" t="s">
        <v>1</v>
      </c>
      <c r="N9" s="38" t="s">
        <v>2</v>
      </c>
      <c r="O9" s="39" t="s">
        <v>6</v>
      </c>
      <c r="P9" s="39" t="s">
        <v>3</v>
      </c>
      <c r="Q9" s="39" t="s">
        <v>4</v>
      </c>
      <c r="S9" s="40" t="s">
        <v>59</v>
      </c>
      <c r="T9" s="41" t="s">
        <v>0</v>
      </c>
      <c r="U9" s="41" t="s">
        <v>1</v>
      </c>
      <c r="V9" s="42" t="s">
        <v>2</v>
      </c>
      <c r="W9" s="43" t="s">
        <v>6</v>
      </c>
      <c r="X9" s="43" t="s">
        <v>3</v>
      </c>
      <c r="Y9" s="43" t="s">
        <v>4</v>
      </c>
    </row>
    <row r="10" spans="1:25">
      <c r="A10" s="104" t="s">
        <v>114</v>
      </c>
      <c r="B10" s="105" t="s">
        <v>115</v>
      </c>
      <c r="C10" s="106">
        <v>14</v>
      </c>
      <c r="D10" s="107" t="s">
        <v>119</v>
      </c>
      <c r="E10" s="106" t="s">
        <v>94</v>
      </c>
      <c r="F10" s="106">
        <v>655</v>
      </c>
      <c r="G10" s="108">
        <f>O10</f>
        <v>165884.16</v>
      </c>
      <c r="H10" s="108">
        <f t="shared" ref="H10:I10" si="0">P10</f>
        <v>172588</v>
      </c>
      <c r="I10" s="109">
        <f t="shared" si="0"/>
        <v>183152.32</v>
      </c>
      <c r="J10" s="55"/>
      <c r="K10" s="20" t="s">
        <v>60</v>
      </c>
      <c r="L10" s="18" t="str">
        <f>A10</f>
        <v>C08100</v>
      </c>
      <c r="M10" s="61" t="str">
        <f>D10</f>
        <v>185</v>
      </c>
      <c r="N10" s="19" t="str">
        <f>B10</f>
        <v>Police Commander</v>
      </c>
      <c r="O10" s="81">
        <f>79.752*2080</f>
        <v>165884.16</v>
      </c>
      <c r="P10" s="81">
        <f>82.975*2080</f>
        <v>172588</v>
      </c>
      <c r="Q10" s="81">
        <f>88.054*2080</f>
        <v>183152.32</v>
      </c>
      <c r="S10" s="46" t="s">
        <v>60</v>
      </c>
      <c r="T10" s="51" t="str">
        <f>A10</f>
        <v>C08100</v>
      </c>
      <c r="U10" s="76" t="str">
        <f>D10</f>
        <v>185</v>
      </c>
      <c r="V10" s="21" t="str">
        <f>B10</f>
        <v>Police Commander</v>
      </c>
      <c r="W10" s="52">
        <f>ROUNDUP(O10/2080,3)</f>
        <v>79.751999999999995</v>
      </c>
      <c r="X10" s="52">
        <f t="shared" ref="X10:Y10" si="1">ROUNDUP(P10/2080,3)</f>
        <v>82.974999999999994</v>
      </c>
      <c r="Y10" s="52">
        <f t="shared" si="1"/>
        <v>88.054000000000002</v>
      </c>
    </row>
    <row r="11" spans="1:25" ht="16.2" thickBot="1">
      <c r="A11" s="98" t="s">
        <v>116</v>
      </c>
      <c r="B11" s="99" t="s">
        <v>117</v>
      </c>
      <c r="C11" s="100">
        <v>15</v>
      </c>
      <c r="D11" s="101" t="s">
        <v>120</v>
      </c>
      <c r="E11" s="100" t="s">
        <v>94</v>
      </c>
      <c r="F11" s="100">
        <v>685</v>
      </c>
      <c r="G11" s="102">
        <f>O11</f>
        <v>173638.39999999999</v>
      </c>
      <c r="H11" s="102">
        <f t="shared" ref="H11" si="2">P11</f>
        <v>180650.08</v>
      </c>
      <c r="I11" s="103">
        <f t="shared" ref="I11" si="3">Q11</f>
        <v>191707.36000000002</v>
      </c>
      <c r="J11" s="55"/>
      <c r="K11" s="20" t="s">
        <v>60</v>
      </c>
      <c r="L11" s="18" t="str">
        <f>A11</f>
        <v>C08140</v>
      </c>
      <c r="M11" s="61" t="str">
        <f>D11</f>
        <v>187</v>
      </c>
      <c r="N11" s="19" t="str">
        <f>B11</f>
        <v>Police Inspector</v>
      </c>
      <c r="O11" s="81">
        <f>83.48*2080</f>
        <v>173638.39999999999</v>
      </c>
      <c r="P11" s="81">
        <f>86.851*2080</f>
        <v>180650.08</v>
      </c>
      <c r="Q11" s="81">
        <f>92.167*2080</f>
        <v>191707.36000000002</v>
      </c>
      <c r="S11" s="46" t="s">
        <v>60</v>
      </c>
      <c r="T11" s="51" t="str">
        <f>A11</f>
        <v>C08140</v>
      </c>
      <c r="U11" s="76" t="str">
        <f>D11</f>
        <v>187</v>
      </c>
      <c r="V11" s="21" t="str">
        <f>B11</f>
        <v>Police Inspector</v>
      </c>
      <c r="W11" s="52">
        <f>ROUNDUP(O11/2080,3)</f>
        <v>83.48</v>
      </c>
      <c r="X11" s="52">
        <f t="shared" ref="X11" si="4">ROUNDUP(P11/2080,3)</f>
        <v>86.850999999999999</v>
      </c>
      <c r="Y11" s="52">
        <f t="shared" ref="Y11" si="5">ROUNDUP(Q11/2080,3)</f>
        <v>92.167000000000002</v>
      </c>
    </row>
    <row r="12" spans="1:25">
      <c r="A12" s="14"/>
      <c r="B12" s="17"/>
      <c r="C12" s="14"/>
      <c r="D12" s="15"/>
      <c r="E12" s="14"/>
      <c r="F12" s="14"/>
      <c r="G12" s="49"/>
      <c r="H12" s="49"/>
      <c r="I12" s="49"/>
      <c r="J12" s="49"/>
      <c r="K12" s="20"/>
    </row>
    <row r="13" spans="1:25">
      <c r="B13" s="16"/>
      <c r="C13" s="9"/>
      <c r="D13" s="9"/>
      <c r="E13" s="8"/>
      <c r="F13" s="9"/>
      <c r="G13" s="11"/>
      <c r="H13" s="11"/>
      <c r="I13" s="11"/>
      <c r="J13" s="11"/>
      <c r="K13" s="20"/>
    </row>
    <row r="14" spans="1:25">
      <c r="B14" s="16"/>
      <c r="C14" s="9"/>
      <c r="D14" s="9"/>
      <c r="E14" s="8"/>
      <c r="F14" s="9"/>
      <c r="G14" s="12"/>
      <c r="H14" s="12" t="s">
        <v>10</v>
      </c>
      <c r="I14" s="12"/>
      <c r="J14" s="13"/>
    </row>
    <row r="15" spans="1:25">
      <c r="A15" s="7" t="s">
        <v>163</v>
      </c>
      <c r="C15" s="10"/>
      <c r="D15" s="10"/>
      <c r="E15" s="8"/>
      <c r="F15" s="9"/>
      <c r="G15" s="12"/>
      <c r="H15" s="12"/>
      <c r="I15" s="12"/>
      <c r="J15" s="13"/>
      <c r="K15" s="87" t="s">
        <v>59</v>
      </c>
      <c r="L15" s="88" t="s">
        <v>61</v>
      </c>
      <c r="M15" s="89"/>
      <c r="N15" s="89"/>
      <c r="O15" s="87" t="s">
        <v>141</v>
      </c>
      <c r="S15" s="90" t="s">
        <v>59</v>
      </c>
      <c r="T15" s="90" t="s">
        <v>61</v>
      </c>
      <c r="U15" s="90"/>
      <c r="V15" s="90"/>
      <c r="W15" s="90" t="s">
        <v>142</v>
      </c>
      <c r="X15" s="90"/>
    </row>
    <row r="16" spans="1:25">
      <c r="A16" s="82">
        <f>O16</f>
        <v>589.24842559496653</v>
      </c>
      <c r="B16" s="83" t="s">
        <v>143</v>
      </c>
      <c r="C16" s="9"/>
      <c r="D16" s="9"/>
      <c r="E16" s="8"/>
      <c r="F16" s="9"/>
      <c r="G16" s="12"/>
      <c r="H16" s="12"/>
      <c r="I16" s="12"/>
      <c r="J16" s="13"/>
      <c r="K16" s="18" t="s">
        <v>60</v>
      </c>
      <c r="L16" s="20" t="s">
        <v>121</v>
      </c>
      <c r="O16" s="50">
        <v>589.24842559496653</v>
      </c>
      <c r="S16" s="51" t="str">
        <f>K16</f>
        <v>Y</v>
      </c>
      <c r="T16" s="51" t="str">
        <f>L16</f>
        <v>7th Year</v>
      </c>
      <c r="U16" s="51"/>
      <c r="V16" s="51"/>
      <c r="W16" s="52">
        <f>ROUNDUP(O16/2080,3)</f>
        <v>0.28399999999999997</v>
      </c>
      <c r="X16" s="77"/>
    </row>
    <row r="17" spans="1:23">
      <c r="A17" s="82">
        <f t="shared" ref="A17:A35" si="6">O17</f>
        <v>833.93024134507175</v>
      </c>
      <c r="B17" s="83" t="s">
        <v>144</v>
      </c>
      <c r="C17" s="9"/>
      <c r="D17" s="9"/>
      <c r="E17" s="8"/>
      <c r="F17" s="9"/>
      <c r="G17" s="12"/>
      <c r="H17" s="12"/>
      <c r="I17" s="12"/>
      <c r="J17" s="13"/>
      <c r="K17" s="18" t="s">
        <v>60</v>
      </c>
      <c r="L17" s="20" t="s">
        <v>122</v>
      </c>
      <c r="O17" s="50">
        <v>833.93024134507175</v>
      </c>
      <c r="S17" s="51" t="str">
        <f t="shared" ref="S17:S35" si="7">K17</f>
        <v>Y</v>
      </c>
      <c r="T17" s="51" t="str">
        <f t="shared" ref="T17:T35" si="8">L17</f>
        <v>8th Year</v>
      </c>
      <c r="U17" s="51"/>
      <c r="V17" s="51"/>
      <c r="W17" s="52">
        <f t="shared" ref="W17:W35" si="9">ROUNDUP(O17/2080,3)</f>
        <v>0.40100000000000002</v>
      </c>
    </row>
    <row r="18" spans="1:23">
      <c r="A18" s="82">
        <f t="shared" si="6"/>
        <v>1078.6120570951769</v>
      </c>
      <c r="B18" s="83" t="s">
        <v>145</v>
      </c>
      <c r="C18" s="9"/>
      <c r="D18" s="9"/>
      <c r="E18" s="8"/>
      <c r="F18" s="9"/>
      <c r="G18" s="12"/>
      <c r="H18" s="12"/>
      <c r="I18" s="12"/>
      <c r="J18" s="13"/>
      <c r="K18" s="18" t="s">
        <v>60</v>
      </c>
      <c r="L18" s="20" t="s">
        <v>123</v>
      </c>
      <c r="O18" s="50">
        <v>1078.6120570951769</v>
      </c>
      <c r="S18" s="51" t="str">
        <f t="shared" si="7"/>
        <v>Y</v>
      </c>
      <c r="T18" s="51" t="str">
        <f t="shared" si="8"/>
        <v>9th Year</v>
      </c>
      <c r="U18" s="51"/>
      <c r="V18" s="51"/>
      <c r="W18" s="52">
        <f t="shared" si="9"/>
        <v>0.51900000000000002</v>
      </c>
    </row>
    <row r="19" spans="1:23">
      <c r="A19" s="82">
        <f t="shared" si="6"/>
        <v>1323.2938728452821</v>
      </c>
      <c r="B19" s="83" t="s">
        <v>146</v>
      </c>
      <c r="C19" s="9"/>
      <c r="D19" s="9"/>
      <c r="E19" s="8"/>
      <c r="F19" s="9"/>
      <c r="G19" s="12"/>
      <c r="H19" s="12"/>
      <c r="I19" s="12"/>
      <c r="J19" s="13"/>
      <c r="K19" s="18" t="s">
        <v>60</v>
      </c>
      <c r="L19" s="20" t="s">
        <v>124</v>
      </c>
      <c r="O19" s="50">
        <v>1323.2938728452821</v>
      </c>
      <c r="S19" s="51" t="str">
        <f t="shared" si="7"/>
        <v>Y</v>
      </c>
      <c r="T19" s="51" t="str">
        <f t="shared" si="8"/>
        <v>10th Year</v>
      </c>
      <c r="U19" s="51"/>
      <c r="V19" s="51"/>
      <c r="W19" s="52">
        <f t="shared" si="9"/>
        <v>0.63700000000000001</v>
      </c>
    </row>
    <row r="20" spans="1:23">
      <c r="A20" s="82">
        <f t="shared" si="6"/>
        <v>1567.9756885953871</v>
      </c>
      <c r="B20" s="83" t="s">
        <v>147</v>
      </c>
      <c r="C20" s="9"/>
      <c r="D20" s="9"/>
      <c r="E20" s="8"/>
      <c r="F20" s="9"/>
      <c r="G20" s="12"/>
      <c r="H20" s="12"/>
      <c r="I20" s="12"/>
      <c r="J20" s="13"/>
      <c r="K20" s="18" t="s">
        <v>60</v>
      </c>
      <c r="L20" s="20" t="s">
        <v>125</v>
      </c>
      <c r="O20" s="50">
        <v>1567.9756885953871</v>
      </c>
      <c r="S20" s="51" t="str">
        <f t="shared" si="7"/>
        <v>Y</v>
      </c>
      <c r="T20" s="51" t="str">
        <f t="shared" si="8"/>
        <v>11th Year</v>
      </c>
      <c r="U20" s="51"/>
      <c r="W20" s="52">
        <f t="shared" si="9"/>
        <v>0.754</v>
      </c>
    </row>
    <row r="21" spans="1:23">
      <c r="A21" s="82">
        <f t="shared" si="6"/>
        <v>4804.5663853039359</v>
      </c>
      <c r="B21" s="83" t="s">
        <v>148</v>
      </c>
      <c r="K21" s="18" t="s">
        <v>60</v>
      </c>
      <c r="L21" s="18" t="s">
        <v>126</v>
      </c>
      <c r="O21" s="50">
        <v>4804.5663853039359</v>
      </c>
      <c r="S21" s="51" t="str">
        <f t="shared" si="7"/>
        <v>Y</v>
      </c>
      <c r="T21" s="51" t="str">
        <f t="shared" si="8"/>
        <v>12th Year</v>
      </c>
      <c r="U21" s="51"/>
      <c r="W21" s="52">
        <f t="shared" si="9"/>
        <v>2.31</v>
      </c>
    </row>
    <row r="22" spans="1:23">
      <c r="A22" s="82">
        <f t="shared" si="6"/>
        <v>5049.2482010540398</v>
      </c>
      <c r="B22" s="84" t="s">
        <v>149</v>
      </c>
      <c r="K22" s="18" t="s">
        <v>60</v>
      </c>
      <c r="L22" s="18" t="s">
        <v>127</v>
      </c>
      <c r="O22" s="50">
        <v>5049.2482010540398</v>
      </c>
      <c r="S22" s="51" t="str">
        <f t="shared" si="7"/>
        <v>Y</v>
      </c>
      <c r="T22" s="51" t="str">
        <f t="shared" si="8"/>
        <v>13th Year</v>
      </c>
      <c r="U22" s="51"/>
      <c r="W22" s="52">
        <f t="shared" si="9"/>
        <v>2.4279999999999999</v>
      </c>
    </row>
    <row r="23" spans="1:23">
      <c r="A23" s="82">
        <f t="shared" si="6"/>
        <v>5293.9300168041464</v>
      </c>
      <c r="B23" s="83" t="s">
        <v>150</v>
      </c>
      <c r="K23" s="18" t="s">
        <v>60</v>
      </c>
      <c r="L23" s="18" t="s">
        <v>128</v>
      </c>
      <c r="O23" s="50">
        <v>5293.9300168041464</v>
      </c>
      <c r="S23" s="51" t="str">
        <f t="shared" si="7"/>
        <v>Y</v>
      </c>
      <c r="T23" s="51" t="str">
        <f t="shared" si="8"/>
        <v>14th Year</v>
      </c>
      <c r="U23" s="51"/>
      <c r="W23" s="52">
        <f t="shared" si="9"/>
        <v>2.5459999999999998</v>
      </c>
    </row>
    <row r="24" spans="1:23">
      <c r="A24" s="82">
        <f t="shared" si="6"/>
        <v>6785.2405329536068</v>
      </c>
      <c r="B24" s="83" t="s">
        <v>151</v>
      </c>
      <c r="K24" s="18" t="s">
        <v>60</v>
      </c>
      <c r="L24" s="18" t="s">
        <v>129</v>
      </c>
      <c r="O24" s="50">
        <v>6785.2405329536068</v>
      </c>
      <c r="S24" s="51" t="str">
        <f t="shared" si="7"/>
        <v>Y</v>
      </c>
      <c r="T24" s="51" t="str">
        <f t="shared" si="8"/>
        <v>15th Year</v>
      </c>
      <c r="U24" s="51"/>
      <c r="W24" s="52">
        <f t="shared" si="9"/>
        <v>3.2629999999999999</v>
      </c>
    </row>
    <row r="25" spans="1:23">
      <c r="A25" s="82">
        <f t="shared" si="6"/>
        <v>7029.9223487037107</v>
      </c>
      <c r="B25" s="83" t="s">
        <v>152</v>
      </c>
      <c r="K25" s="18" t="s">
        <v>60</v>
      </c>
      <c r="L25" s="18" t="s">
        <v>130</v>
      </c>
      <c r="O25" s="50">
        <v>7029.9223487037107</v>
      </c>
      <c r="S25" s="51" t="str">
        <f t="shared" si="7"/>
        <v>Y</v>
      </c>
      <c r="T25" s="51" t="str">
        <f t="shared" si="8"/>
        <v>16th Year</v>
      </c>
      <c r="U25" s="51"/>
      <c r="W25" s="52">
        <f t="shared" si="9"/>
        <v>3.38</v>
      </c>
    </row>
    <row r="26" spans="1:23">
      <c r="A26" s="82">
        <f t="shared" si="6"/>
        <v>7274.6041644538127</v>
      </c>
      <c r="B26" s="83" t="s">
        <v>153</v>
      </c>
      <c r="K26" s="18" t="s">
        <v>60</v>
      </c>
      <c r="L26" s="18" t="s">
        <v>131</v>
      </c>
      <c r="O26" s="50">
        <v>7274.6041644538127</v>
      </c>
      <c r="S26" s="51" t="str">
        <f t="shared" si="7"/>
        <v>Y</v>
      </c>
      <c r="T26" s="51" t="str">
        <f t="shared" si="8"/>
        <v>17th Year</v>
      </c>
      <c r="U26" s="51"/>
      <c r="W26" s="52">
        <f t="shared" si="9"/>
        <v>3.4979999999999998</v>
      </c>
    </row>
    <row r="27" spans="1:23">
      <c r="A27" s="82">
        <f t="shared" si="6"/>
        <v>7519.2859802039202</v>
      </c>
      <c r="B27" s="83" t="s">
        <v>154</v>
      </c>
      <c r="K27" s="18" t="s">
        <v>60</v>
      </c>
      <c r="L27" s="18" t="s">
        <v>132</v>
      </c>
      <c r="O27" s="50">
        <v>7519.2859802039202</v>
      </c>
      <c r="S27" s="51" t="str">
        <f t="shared" si="7"/>
        <v>Y</v>
      </c>
      <c r="T27" s="51" t="str">
        <f t="shared" si="8"/>
        <v>18th Year</v>
      </c>
      <c r="U27" s="51"/>
      <c r="W27" s="52">
        <f t="shared" si="9"/>
        <v>3.6160000000000001</v>
      </c>
    </row>
    <row r="28" spans="1:23">
      <c r="A28" s="82">
        <f t="shared" si="6"/>
        <v>7763.9677959540231</v>
      </c>
      <c r="B28" s="83" t="s">
        <v>155</v>
      </c>
      <c r="K28" s="18" t="s">
        <v>60</v>
      </c>
      <c r="L28" s="18" t="s">
        <v>133</v>
      </c>
      <c r="O28" s="50">
        <v>7763.9677959540231</v>
      </c>
      <c r="S28" s="51" t="str">
        <f t="shared" si="7"/>
        <v>Y</v>
      </c>
      <c r="T28" s="51" t="str">
        <f t="shared" si="8"/>
        <v>19th Year</v>
      </c>
      <c r="U28" s="51"/>
      <c r="W28" s="52">
        <f t="shared" si="9"/>
        <v>3.7330000000000001</v>
      </c>
    </row>
    <row r="29" spans="1:23">
      <c r="A29" s="82">
        <f t="shared" si="6"/>
        <v>9753.9297922632231</v>
      </c>
      <c r="B29" s="83" t="s">
        <v>156</v>
      </c>
      <c r="K29" s="18" t="s">
        <v>60</v>
      </c>
      <c r="L29" s="18" t="s">
        <v>134</v>
      </c>
      <c r="O29" s="50">
        <v>9753.9297922632231</v>
      </c>
      <c r="S29" s="51" t="str">
        <f t="shared" si="7"/>
        <v>Y</v>
      </c>
      <c r="T29" s="51" t="str">
        <f t="shared" si="8"/>
        <v>20th Year</v>
      </c>
      <c r="U29" s="51"/>
      <c r="W29" s="52">
        <f t="shared" si="9"/>
        <v>4.6900000000000004</v>
      </c>
    </row>
    <row r="30" spans="1:23">
      <c r="A30" s="82">
        <f t="shared" si="6"/>
        <v>9998.6116080133288</v>
      </c>
      <c r="B30" s="83" t="s">
        <v>157</v>
      </c>
      <c r="K30" s="18" t="s">
        <v>60</v>
      </c>
      <c r="L30" s="18" t="s">
        <v>135</v>
      </c>
      <c r="O30" s="50">
        <v>9998.6116080133288</v>
      </c>
      <c r="S30" s="51" t="str">
        <f t="shared" si="7"/>
        <v>Y</v>
      </c>
      <c r="T30" s="51" t="str">
        <f t="shared" si="8"/>
        <v>21st Year</v>
      </c>
      <c r="U30" s="51"/>
      <c r="W30" s="52">
        <f t="shared" si="9"/>
        <v>4.8080000000000007</v>
      </c>
    </row>
    <row r="31" spans="1:23">
      <c r="A31" s="82">
        <f t="shared" si="6"/>
        <v>10243.293423763431</v>
      </c>
      <c r="B31" s="83" t="s">
        <v>158</v>
      </c>
      <c r="K31" s="18" t="s">
        <v>60</v>
      </c>
      <c r="L31" s="18" t="s">
        <v>136</v>
      </c>
      <c r="O31" s="50">
        <v>10243.293423763431</v>
      </c>
      <c r="S31" s="51" t="str">
        <f t="shared" si="7"/>
        <v>Y</v>
      </c>
      <c r="T31" s="51" t="str">
        <f t="shared" si="8"/>
        <v>22nd Year</v>
      </c>
      <c r="U31" s="51"/>
      <c r="W31" s="52">
        <f t="shared" si="9"/>
        <v>4.9250000000000007</v>
      </c>
    </row>
    <row r="32" spans="1:23">
      <c r="A32" s="82">
        <f t="shared" si="6"/>
        <v>10487.975239513538</v>
      </c>
      <c r="B32" s="83" t="s">
        <v>159</v>
      </c>
      <c r="K32" s="18" t="s">
        <v>60</v>
      </c>
      <c r="L32" s="18" t="s">
        <v>137</v>
      </c>
      <c r="O32" s="50">
        <v>10487.975239513538</v>
      </c>
      <c r="S32" s="51" t="str">
        <f t="shared" si="7"/>
        <v>Y</v>
      </c>
      <c r="T32" s="51" t="str">
        <f t="shared" si="8"/>
        <v>23rd Year</v>
      </c>
      <c r="U32" s="51"/>
      <c r="W32" s="52">
        <f t="shared" si="9"/>
        <v>5.0430000000000001</v>
      </c>
    </row>
    <row r="33" spans="1:23">
      <c r="A33" s="82">
        <f t="shared" si="6"/>
        <v>10732.657055263642</v>
      </c>
      <c r="B33" s="83" t="s">
        <v>160</v>
      </c>
      <c r="K33" s="18" t="s">
        <v>60</v>
      </c>
      <c r="L33" s="18" t="s">
        <v>138</v>
      </c>
      <c r="O33" s="50">
        <v>10732.657055263642</v>
      </c>
      <c r="S33" s="51" t="str">
        <f t="shared" si="7"/>
        <v>Y</v>
      </c>
      <c r="T33" s="51" t="str">
        <f t="shared" si="8"/>
        <v>24th Year</v>
      </c>
      <c r="U33" s="51"/>
      <c r="W33" s="52">
        <f t="shared" si="9"/>
        <v>5.16</v>
      </c>
    </row>
    <row r="34" spans="1:23">
      <c r="A34" s="82">
        <f t="shared" si="6"/>
        <v>11725.316091253362</v>
      </c>
      <c r="B34" s="83" t="s">
        <v>161</v>
      </c>
      <c r="K34" s="18" t="s">
        <v>60</v>
      </c>
      <c r="L34" s="18" t="s">
        <v>139</v>
      </c>
      <c r="O34" s="50">
        <v>11725.316091253362</v>
      </c>
      <c r="S34" s="51" t="str">
        <f t="shared" si="7"/>
        <v>Y</v>
      </c>
      <c r="T34" s="51" t="str">
        <f t="shared" si="8"/>
        <v>25th Year</v>
      </c>
      <c r="U34" s="51"/>
      <c r="W34" s="52">
        <f t="shared" si="9"/>
        <v>5.6379999999999999</v>
      </c>
    </row>
    <row r="35" spans="1:23">
      <c r="A35" s="82">
        <f t="shared" si="6"/>
        <v>12005.717815886372</v>
      </c>
      <c r="B35" s="83" t="s">
        <v>162</v>
      </c>
      <c r="K35" s="18" t="s">
        <v>60</v>
      </c>
      <c r="L35" s="18" t="s">
        <v>140</v>
      </c>
      <c r="O35" s="50">
        <v>12005.717815886372</v>
      </c>
      <c r="S35" s="51" t="str">
        <f t="shared" si="7"/>
        <v>Y</v>
      </c>
      <c r="T35" s="51" t="str">
        <f t="shared" si="8"/>
        <v>26th Year</v>
      </c>
      <c r="U35" s="51"/>
      <c r="W35" s="52">
        <f t="shared" si="9"/>
        <v>5.7720000000000002</v>
      </c>
    </row>
    <row r="36" spans="1:23">
      <c r="W36" s="52"/>
    </row>
    <row r="37" spans="1:23">
      <c r="A37" s="86" t="s">
        <v>167</v>
      </c>
    </row>
    <row r="38" spans="1:23">
      <c r="A38" s="83" t="s">
        <v>164</v>
      </c>
      <c r="O38" s="53"/>
    </row>
    <row r="39" spans="1:23">
      <c r="A39" s="94" t="s">
        <v>166</v>
      </c>
    </row>
    <row r="40" spans="1:23">
      <c r="A40" s="55" t="s">
        <v>165</v>
      </c>
    </row>
    <row r="42" spans="1:23">
      <c r="A42" s="86" t="s">
        <v>175</v>
      </c>
    </row>
    <row r="43" spans="1:23">
      <c r="A43" s="85" t="str">
        <f>"Current employees are eligible for an allowance of "&amp;TEXT(750,"$###")&amp;" per year. The allowance will be paid on the first payroll date on or about June 1"</f>
        <v>Current employees are eligible for an allowance of $750 per year. The allowance will be paid on the first payroll date on or about June 1</v>
      </c>
      <c r="K43" s="18" t="s">
        <v>63</v>
      </c>
      <c r="L43" s="116" t="s">
        <v>179</v>
      </c>
      <c r="O43" s="50">
        <v>750</v>
      </c>
      <c r="S43" s="51" t="str">
        <f t="shared" ref="S43:T43" si="10">K43</f>
        <v>N</v>
      </c>
      <c r="T43" s="54" t="str">
        <f t="shared" si="10"/>
        <v>Clothing/Equipment Allowance - Current Emps</v>
      </c>
      <c r="W43" s="119">
        <f>O43</f>
        <v>750</v>
      </c>
    </row>
    <row r="44" spans="1:23">
      <c r="A44" s="85" t="s">
        <v>176</v>
      </c>
    </row>
    <row r="45" spans="1:23">
      <c r="A45" s="85" t="s">
        <v>177</v>
      </c>
      <c r="K45" s="18" t="s">
        <v>63</v>
      </c>
      <c r="L45" s="116" t="s">
        <v>180</v>
      </c>
      <c r="O45" s="50">
        <f>O43*2</f>
        <v>1500</v>
      </c>
      <c r="S45" s="51" t="str">
        <f t="shared" ref="S45" si="11">K45</f>
        <v>N</v>
      </c>
      <c r="T45" s="54" t="str">
        <f t="shared" ref="T45" si="12">L45</f>
        <v>Clothing/Equipment Allowance - New Emps</v>
      </c>
      <c r="W45" s="119">
        <f>O45</f>
        <v>1500</v>
      </c>
    </row>
    <row r="46" spans="1:23">
      <c r="A46" s="85" t="s">
        <v>178</v>
      </c>
    </row>
    <row r="51" spans="1:2">
      <c r="A51" s="86" t="s">
        <v>168</v>
      </c>
    </row>
    <row r="52" spans="1:2">
      <c r="A52" s="85" t="s">
        <v>174</v>
      </c>
    </row>
    <row r="54" spans="1:2">
      <c r="A54" s="95" t="s">
        <v>169</v>
      </c>
      <c r="B54" s="97" t="s">
        <v>170</v>
      </c>
    </row>
    <row r="55" spans="1:2">
      <c r="A55" s="4">
        <v>1</v>
      </c>
      <c r="B55" s="96" t="s">
        <v>171</v>
      </c>
    </row>
    <row r="56" spans="1:2">
      <c r="A56" s="4">
        <v>2</v>
      </c>
      <c r="B56" s="96" t="s">
        <v>171</v>
      </c>
    </row>
    <row r="57" spans="1:2">
      <c r="A57" s="4">
        <v>3</v>
      </c>
      <c r="B57" s="96" t="s">
        <v>171</v>
      </c>
    </row>
    <row r="58" spans="1:2">
      <c r="A58" s="4">
        <v>4</v>
      </c>
      <c r="B58" s="96" t="s">
        <v>172</v>
      </c>
    </row>
    <row r="59" spans="1:2">
      <c r="A59" s="4">
        <v>5</v>
      </c>
      <c r="B59" s="96" t="s">
        <v>172</v>
      </c>
    </row>
    <row r="60" spans="1:2">
      <c r="A60" s="4">
        <v>6</v>
      </c>
      <c r="B60" s="96" t="s">
        <v>173</v>
      </c>
    </row>
    <row r="61" spans="1:2">
      <c r="A61" s="4">
        <v>7</v>
      </c>
      <c r="B61" s="96" t="s">
        <v>173</v>
      </c>
    </row>
    <row r="62" spans="1:2">
      <c r="A62" s="4">
        <v>8</v>
      </c>
      <c r="B62" s="96" t="s">
        <v>173</v>
      </c>
    </row>
  </sheetData>
  <sheetProtection sheet="1" objects="1" scenarios="1"/>
  <mergeCells count="3">
    <mergeCell ref="A2:I2"/>
    <mergeCell ref="B8:F8"/>
    <mergeCell ref="A1:D1"/>
  </mergeCells>
  <phoneticPr fontId="13" type="noConversion"/>
  <conditionalFormatting sqref="G10:I11">
    <cfRule type="cellIs" dxfId="22" priority="3" operator="equal">
      <formula>0</formula>
    </cfRule>
    <cfRule type="cellIs" dxfId="21" priority="4" operator="greaterThanOrEqual">
      <formula>100</formula>
    </cfRule>
    <cfRule type="cellIs" dxfId="20" priority="5" operator="lessThan">
      <formula>100</formula>
    </cfRule>
  </conditionalFormatting>
  <conditionalFormatting sqref="O10:Q16 O17:O20 Q17:Q20 P17:P35">
    <cfRule type="cellIs" dxfId="19" priority="1" operator="lessThan">
      <formula>100</formula>
    </cfRule>
    <cfRule type="cellIs" dxfId="18" priority="2" operator="greaterThanOrEqual">
      <formula>100</formula>
    </cfRule>
  </conditionalFormatting>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E310F-FCE7-457A-9C78-54A91FA7A3B4}">
  <sheetPr>
    <tabColor theme="8"/>
  </sheetPr>
  <dimension ref="A1:Y53"/>
  <sheetViews>
    <sheetView showGridLines="0" tabSelected="1" zoomScale="85" zoomScaleNormal="85" workbookViewId="0">
      <selection activeCell="H17" sqref="H17"/>
    </sheetView>
  </sheetViews>
  <sheetFormatPr defaultColWidth="9.33203125" defaultRowHeight="15.6"/>
  <cols>
    <col min="1" max="1" width="14.5546875" style="4" customWidth="1"/>
    <col min="2" max="2" width="50.33203125" style="56" customWidth="1"/>
    <col min="3" max="3" width="10" style="4" customWidth="1"/>
    <col min="4" max="4" width="9" style="57" customWidth="1"/>
    <col min="5" max="5" width="7.6640625" style="4" customWidth="1"/>
    <col min="6" max="6" width="8.6640625" style="4" bestFit="1" customWidth="1"/>
    <col min="7" max="9" width="11.5546875" style="58" bestFit="1" customWidth="1"/>
    <col min="10" max="10" width="11.44140625" style="58" hidden="1" customWidth="1"/>
    <col min="11" max="11" width="20.88671875" style="18" hidden="1" customWidth="1"/>
    <col min="12" max="12" width="16.109375" style="18" hidden="1" customWidth="1"/>
    <col min="13" max="13" width="11.44140625" style="19" hidden="1" customWidth="1"/>
    <col min="14" max="14" width="45.5546875" style="19" hidden="1" customWidth="1"/>
    <col min="15" max="17" width="11.44140625" style="18" hidden="1" customWidth="1"/>
    <col min="18" max="18" width="9.6640625" style="3" hidden="1" customWidth="1"/>
    <col min="19" max="21" width="11.44140625" style="21" hidden="1" customWidth="1"/>
    <col min="22" max="22" width="45.5546875" style="21" hidden="1" customWidth="1"/>
    <col min="23" max="25" width="14.44140625" style="21" hidden="1" customWidth="1"/>
    <col min="26" max="29" width="11.44140625" style="3" customWidth="1"/>
    <col min="30" max="16384" width="9.33203125" style="3"/>
  </cols>
  <sheetData>
    <row r="1" spans="1:25">
      <c r="A1" s="124" t="s">
        <v>85</v>
      </c>
      <c r="B1" s="124"/>
      <c r="C1" s="124"/>
      <c r="D1" s="124"/>
      <c r="K1" s="78" t="s">
        <v>93</v>
      </c>
      <c r="L1" s="91">
        <v>45292</v>
      </c>
    </row>
    <row r="2" spans="1:25" ht="15.75" customHeight="1">
      <c r="A2" s="121" t="s">
        <v>112</v>
      </c>
      <c r="B2" s="122"/>
      <c r="C2" s="122"/>
      <c r="D2" s="122"/>
      <c r="E2" s="122"/>
      <c r="F2" s="122"/>
      <c r="G2" s="122"/>
      <c r="H2" s="122"/>
      <c r="I2" s="122"/>
      <c r="J2" s="26"/>
      <c r="K2" s="66" t="s">
        <v>62</v>
      </c>
      <c r="L2" s="92" t="str">
        <f>"Data"&amp;VLOOKUP(MONTH(L1),Months,2,0)&amp;YEAR(L1)</f>
        <v>DataJan2024</v>
      </c>
    </row>
    <row r="3" spans="1:25" s="1" customFormat="1">
      <c r="A3" s="62" t="s">
        <v>91</v>
      </c>
      <c r="B3" s="63">
        <v>45658</v>
      </c>
      <c r="C3" s="65">
        <v>0.04</v>
      </c>
      <c r="D3" s="64" t="s">
        <v>99</v>
      </c>
      <c r="E3" s="62"/>
      <c r="F3" s="28"/>
      <c r="G3" s="28"/>
      <c r="H3" s="28"/>
      <c r="I3" s="28"/>
      <c r="J3" s="28"/>
      <c r="K3" s="80" t="str">
        <f>"IncrPerc"&amp;VLOOKUP(MONTH(B3),Months,2,0)&amp;YEAR(B3)</f>
        <v>IncrPercJan2025</v>
      </c>
      <c r="L3" s="93">
        <f>C3+100%</f>
        <v>1.04</v>
      </c>
      <c r="M3" s="31"/>
      <c r="N3" s="31"/>
      <c r="O3" s="30"/>
      <c r="P3" s="30"/>
      <c r="Q3" s="30"/>
      <c r="S3" s="32"/>
      <c r="T3" s="32"/>
      <c r="U3" s="32"/>
      <c r="V3" s="32"/>
      <c r="W3" s="32"/>
      <c r="X3" s="32"/>
      <c r="Y3" s="32"/>
    </row>
    <row r="4" spans="1:25" s="1" customFormat="1">
      <c r="A4" s="74" t="s">
        <v>92</v>
      </c>
      <c r="B4" s="75">
        <v>45838</v>
      </c>
      <c r="C4" s="28"/>
      <c r="D4" s="28"/>
      <c r="E4" s="28"/>
      <c r="F4" s="28"/>
      <c r="G4" s="28"/>
      <c r="H4" s="28"/>
      <c r="I4" s="28"/>
      <c r="J4" s="28"/>
      <c r="K4" s="29"/>
      <c r="L4" s="30"/>
      <c r="M4" s="31"/>
      <c r="N4" s="31"/>
      <c r="O4" s="30"/>
      <c r="P4" s="30"/>
      <c r="Q4" s="30"/>
      <c r="S4" s="32"/>
      <c r="T4" s="32"/>
      <c r="U4" s="32"/>
      <c r="V4" s="32"/>
      <c r="W4" s="32"/>
      <c r="X4" s="32"/>
      <c r="Y4" s="32"/>
    </row>
    <row r="5" spans="1:25" s="1" customFormat="1">
      <c r="A5" s="74"/>
      <c r="B5" s="28"/>
      <c r="C5" s="28"/>
      <c r="D5" s="28"/>
      <c r="E5" s="28"/>
      <c r="F5" s="28"/>
      <c r="G5" s="28"/>
      <c r="H5" s="28"/>
      <c r="I5" s="28"/>
      <c r="J5" s="28"/>
      <c r="K5" s="29"/>
      <c r="L5" s="30"/>
      <c r="M5" s="31"/>
      <c r="N5" s="31"/>
      <c r="O5" s="30"/>
      <c r="P5" s="30"/>
      <c r="Q5" s="30"/>
      <c r="S5" s="32"/>
      <c r="T5" s="32"/>
      <c r="U5" s="32"/>
      <c r="V5" s="32"/>
      <c r="W5" s="32"/>
      <c r="X5" s="32"/>
      <c r="Y5" s="32"/>
    </row>
    <row r="6" spans="1:25" s="1" customFormat="1">
      <c r="K6" s="29"/>
      <c r="L6" s="30"/>
      <c r="M6" s="31"/>
      <c r="N6" s="31"/>
      <c r="O6" s="73"/>
      <c r="P6" s="73"/>
      <c r="Q6" s="73"/>
      <c r="S6" s="32"/>
      <c r="T6" s="32"/>
      <c r="U6" s="32"/>
      <c r="V6" s="32"/>
      <c r="W6" s="32"/>
      <c r="X6" s="32"/>
      <c r="Y6" s="32"/>
    </row>
    <row r="7" spans="1:25" s="1" customFormat="1">
      <c r="A7" s="22"/>
      <c r="B7" s="33"/>
      <c r="C7" s="33"/>
      <c r="D7" s="33"/>
      <c r="E7" s="33"/>
      <c r="F7" s="33"/>
      <c r="G7" s="33"/>
      <c r="H7" s="33"/>
      <c r="I7" s="33"/>
      <c r="J7" s="33"/>
      <c r="K7" s="29"/>
      <c r="L7" s="30"/>
      <c r="M7" s="31"/>
      <c r="N7" s="31"/>
      <c r="O7" s="30"/>
      <c r="P7" s="30"/>
      <c r="Q7" s="30"/>
      <c r="S7" s="32"/>
      <c r="T7" s="32"/>
      <c r="U7" s="32"/>
      <c r="V7" s="32"/>
      <c r="W7" s="32"/>
      <c r="X7" s="32"/>
      <c r="Y7" s="32"/>
    </row>
    <row r="8" spans="1:25" ht="16.2" thickBot="1">
      <c r="A8" s="34"/>
      <c r="B8" s="125"/>
      <c r="C8" s="125"/>
      <c r="D8" s="125"/>
      <c r="E8" s="125"/>
      <c r="F8" s="125"/>
      <c r="G8" s="35"/>
      <c r="H8" s="35"/>
      <c r="I8" s="35"/>
      <c r="J8" s="55"/>
      <c r="K8" s="20" t="s">
        <v>95</v>
      </c>
      <c r="O8" s="18">
        <v>4</v>
      </c>
      <c r="P8" s="18">
        <v>5</v>
      </c>
      <c r="Q8" s="18">
        <v>6</v>
      </c>
      <c r="S8" s="21" t="s">
        <v>96</v>
      </c>
    </row>
    <row r="9" spans="1:25" ht="31.8" thickBot="1">
      <c r="A9" s="110" t="s">
        <v>0</v>
      </c>
      <c r="B9" s="111" t="s">
        <v>2</v>
      </c>
      <c r="C9" s="112" t="s">
        <v>90</v>
      </c>
      <c r="D9" s="113" t="s">
        <v>1</v>
      </c>
      <c r="E9" s="112" t="s">
        <v>118</v>
      </c>
      <c r="F9" s="112" t="s">
        <v>5</v>
      </c>
      <c r="G9" s="114" t="s">
        <v>6</v>
      </c>
      <c r="H9" s="114" t="s">
        <v>3</v>
      </c>
      <c r="I9" s="115" t="s">
        <v>4</v>
      </c>
      <c r="J9" s="55"/>
      <c r="K9" s="36" t="s">
        <v>59</v>
      </c>
      <c r="L9" s="37" t="s">
        <v>0</v>
      </c>
      <c r="M9" s="37" t="s">
        <v>1</v>
      </c>
      <c r="N9" s="38" t="s">
        <v>2</v>
      </c>
      <c r="O9" s="39" t="s">
        <v>6</v>
      </c>
      <c r="P9" s="39" t="s">
        <v>3</v>
      </c>
      <c r="Q9" s="39" t="s">
        <v>4</v>
      </c>
      <c r="R9" s="3" t="s">
        <v>97</v>
      </c>
      <c r="S9" s="40" t="s">
        <v>59</v>
      </c>
      <c r="T9" s="41" t="s">
        <v>0</v>
      </c>
      <c r="U9" s="41" t="s">
        <v>1</v>
      </c>
      <c r="V9" s="42" t="s">
        <v>2</v>
      </c>
      <c r="W9" s="43" t="s">
        <v>6</v>
      </c>
      <c r="X9" s="43" t="s">
        <v>3</v>
      </c>
      <c r="Y9" s="43" t="s">
        <v>4</v>
      </c>
    </row>
    <row r="10" spans="1:25">
      <c r="A10" s="104" t="s">
        <v>114</v>
      </c>
      <c r="B10" s="105" t="s">
        <v>115</v>
      </c>
      <c r="C10" s="106">
        <v>14</v>
      </c>
      <c r="D10" s="107" t="s">
        <v>119</v>
      </c>
      <c r="E10" s="106" t="s">
        <v>94</v>
      </c>
      <c r="F10" s="106">
        <v>655</v>
      </c>
      <c r="G10" s="108">
        <f t="shared" ref="G10:I11" ca="1" si="0">O10</f>
        <v>172520</v>
      </c>
      <c r="H10" s="108">
        <f t="shared" ca="1" si="0"/>
        <v>179492</v>
      </c>
      <c r="I10" s="109">
        <f t="shared" ca="1" si="0"/>
        <v>190478</v>
      </c>
      <c r="J10" s="55"/>
      <c r="K10" s="20" t="s">
        <v>60</v>
      </c>
      <c r="L10" s="18" t="str">
        <f>A10</f>
        <v>C08100</v>
      </c>
      <c r="M10" s="44" t="str">
        <f>D10</f>
        <v>185</v>
      </c>
      <c r="N10" s="19" t="str">
        <f>B10</f>
        <v>Police Commander</v>
      </c>
      <c r="O10" s="45" cm="1">
        <f t="array" aca="1" ref="O10" ca="1">ROUND(IF($K10="Y",VLOOKUP($L10,INDIRECT($L$2),O$8,0)*INDIRECT($K$3),VLOOKUP($L10,INDIRECT($L$2),O$8,0)),IF(LEFT($E10,1)="N",3,0))</f>
        <v>172520</v>
      </c>
      <c r="P10" s="45" cm="1">
        <f t="array" aca="1" ref="P10" ca="1">ROUND(IF($K10="Y",VLOOKUP($L10,INDIRECT($L$2),P$8,0)*INDIRECT($K$3),VLOOKUP($L10,INDIRECT($L$2),P$8,0)),IF(LEFT($E10,1)="N",3,0))</f>
        <v>179492</v>
      </c>
      <c r="Q10" s="45" cm="1">
        <f t="array" aca="1" ref="Q10" ca="1">ROUND(IF($K10="Y",VLOOKUP($L10,INDIRECT($L$2),Q$8,0)*INDIRECT($K$3),VLOOKUP($L10,INDIRECT($L$2),Q$8,0)),IF(LEFT($E10,1)="N",3,0))</f>
        <v>190478</v>
      </c>
      <c r="R10" s="68">
        <f ca="1">COUNT(O10:Q10)</f>
        <v>3</v>
      </c>
      <c r="S10" s="46" t="str">
        <f t="shared" ref="S10:V11" si="1">K10</f>
        <v>Y</v>
      </c>
      <c r="T10" s="21" t="str">
        <f t="shared" si="1"/>
        <v>C08100</v>
      </c>
      <c r="U10" s="47" t="str">
        <f t="shared" si="1"/>
        <v>185</v>
      </c>
      <c r="V10" s="21" t="str">
        <f t="shared" si="1"/>
        <v>Police Commander</v>
      </c>
      <c r="W10" s="48">
        <f t="shared" ref="W10:Y11" ca="1" si="2">IF(LEFT($E10,1)="N",O10,ROUNDUP(O10/2080,3))</f>
        <v>82.942999999999998</v>
      </c>
      <c r="X10" s="48">
        <f t="shared" ca="1" si="2"/>
        <v>86.295000000000002</v>
      </c>
      <c r="Y10" s="48">
        <f t="shared" ca="1" si="2"/>
        <v>91.576000000000008</v>
      </c>
    </row>
    <row r="11" spans="1:25" ht="16.2" thickBot="1">
      <c r="A11" s="98" t="s">
        <v>116</v>
      </c>
      <c r="B11" s="99" t="s">
        <v>117</v>
      </c>
      <c r="C11" s="100">
        <v>15</v>
      </c>
      <c r="D11" s="101" t="s">
        <v>120</v>
      </c>
      <c r="E11" s="100" t="s">
        <v>94</v>
      </c>
      <c r="F11" s="100">
        <v>685</v>
      </c>
      <c r="G11" s="102">
        <f t="shared" ca="1" si="0"/>
        <v>180584</v>
      </c>
      <c r="H11" s="102">
        <f t="shared" ca="1" si="0"/>
        <v>187876</v>
      </c>
      <c r="I11" s="103">
        <f t="shared" ca="1" si="0"/>
        <v>199376</v>
      </c>
      <c r="J11" s="55"/>
      <c r="K11" s="20" t="s">
        <v>60</v>
      </c>
      <c r="L11" s="18" t="str">
        <f>A11</f>
        <v>C08140</v>
      </c>
      <c r="M11" s="44" t="str">
        <f>D11</f>
        <v>187</v>
      </c>
      <c r="N11" s="19" t="str">
        <f>B11</f>
        <v>Police Inspector</v>
      </c>
      <c r="O11" s="45" cm="1">
        <f t="array" aca="1" ref="O11" ca="1">ROUND(IF($K11="Y",VLOOKUP($L11,INDIRECT($L$2),O$8,0)*INDIRECT($K$3),VLOOKUP($L11,INDIRECT($L$2),O$8,0)),IF(LEFT($E11,1)="N",3,0))</f>
        <v>180584</v>
      </c>
      <c r="P11" s="45" cm="1">
        <f t="array" aca="1" ref="P11" ca="1">ROUND(IF($K11="Y",VLOOKUP($L11,INDIRECT($L$2),P$8,0)*INDIRECT($K$3),VLOOKUP($L11,INDIRECT($L$2),P$8,0)),IF(LEFT($E11,1)="N",3,0))</f>
        <v>187876</v>
      </c>
      <c r="Q11" s="45" cm="1">
        <f t="array" aca="1" ref="Q11" ca="1">ROUND(IF($K11="Y",VLOOKUP($L11,INDIRECT($L$2),Q$8,0)*INDIRECT($K$3),VLOOKUP($L11,INDIRECT($L$2),Q$8,0)),IF(LEFT($E11,1)="N",3,0))</f>
        <v>199376</v>
      </c>
      <c r="R11" s="68">
        <f ca="1">COUNT(O11:Q11)</f>
        <v>3</v>
      </c>
      <c r="S11" s="46" t="str">
        <f t="shared" si="1"/>
        <v>Y</v>
      </c>
      <c r="T11" s="21" t="str">
        <f t="shared" si="1"/>
        <v>C08140</v>
      </c>
      <c r="U11" s="47" t="str">
        <f t="shared" si="1"/>
        <v>187</v>
      </c>
      <c r="V11" s="21" t="str">
        <f t="shared" si="1"/>
        <v>Police Inspector</v>
      </c>
      <c r="W11" s="48">
        <f t="shared" ca="1" si="2"/>
        <v>86.820000000000007</v>
      </c>
      <c r="X11" s="48">
        <f t="shared" ca="1" si="2"/>
        <v>90.325000000000003</v>
      </c>
      <c r="Y11" s="48">
        <f t="shared" ca="1" si="2"/>
        <v>95.853999999999999</v>
      </c>
    </row>
    <row r="12" spans="1:25">
      <c r="A12" s="14"/>
      <c r="B12" s="17"/>
      <c r="C12" s="14"/>
      <c r="D12" s="15"/>
      <c r="E12" s="14"/>
      <c r="F12" s="14"/>
      <c r="G12" s="49"/>
      <c r="H12" s="49"/>
      <c r="I12" s="49"/>
      <c r="J12" s="49"/>
      <c r="K12" s="20"/>
    </row>
    <row r="13" spans="1:25">
      <c r="A13" s="7"/>
      <c r="B13" s="16"/>
      <c r="C13" s="9"/>
      <c r="D13" s="9"/>
      <c r="E13" s="8"/>
      <c r="F13" s="9"/>
      <c r="G13" s="11"/>
      <c r="H13" s="11"/>
      <c r="I13" s="11"/>
      <c r="J13" s="11"/>
      <c r="K13" s="20"/>
    </row>
    <row r="14" spans="1:25">
      <c r="A14" s="8"/>
      <c r="B14" s="3"/>
      <c r="C14" s="10"/>
      <c r="D14" s="10"/>
      <c r="E14" s="8"/>
      <c r="F14" s="9"/>
      <c r="G14" s="12"/>
      <c r="H14" s="12"/>
      <c r="I14" s="12"/>
      <c r="J14" s="13"/>
      <c r="L14" s="19"/>
      <c r="T14" s="21" t="str">
        <f>L15</f>
        <v>Longevity</v>
      </c>
    </row>
    <row r="15" spans="1:25">
      <c r="A15" s="7" t="s">
        <v>163</v>
      </c>
      <c r="B15" s="55"/>
      <c r="C15" s="10"/>
      <c r="D15" s="10"/>
      <c r="E15" s="8"/>
      <c r="F15" s="9"/>
      <c r="G15" s="12"/>
      <c r="H15" s="12"/>
      <c r="I15" s="12"/>
      <c r="J15" s="13"/>
      <c r="K15" s="87" t="s">
        <v>59</v>
      </c>
      <c r="L15" s="88" t="s">
        <v>61</v>
      </c>
      <c r="W15" s="72"/>
    </row>
    <row r="16" spans="1:25">
      <c r="A16" s="11">
        <f ca="1">O16</f>
        <v>613</v>
      </c>
      <c r="B16" s="83" t="s">
        <v>143</v>
      </c>
      <c r="D16" s="9"/>
      <c r="E16" s="8"/>
      <c r="F16" s="9"/>
      <c r="G16" s="12"/>
      <c r="H16" s="12"/>
      <c r="I16" s="12"/>
      <c r="J16" s="13"/>
      <c r="K16" s="18" t="s">
        <v>60</v>
      </c>
      <c r="L16" s="20" t="s">
        <v>121</v>
      </c>
      <c r="N16" s="69"/>
      <c r="O16" s="45" cm="1">
        <f t="array" aca="1" ref="O16" ca="1">ROUND(IF($K16="Y",VLOOKUP($L16,INDIRECT($L$2),O$8,0)*INDIRECT($K$3),VLOOKUP($L16,INDIRECT($L$2),O$8,0)),IF(LEFT($B16,1)="N",3,0))</f>
        <v>613</v>
      </c>
      <c r="S16" s="51" t="str">
        <f>K16</f>
        <v>Y</v>
      </c>
      <c r="T16" s="51" t="str">
        <f>L16</f>
        <v>7th Year</v>
      </c>
      <c r="U16" s="51"/>
      <c r="V16" s="71"/>
      <c r="W16" s="72">
        <f ca="1">ROUNDUP(O16/2080,3)</f>
        <v>0.29499999999999998</v>
      </c>
    </row>
    <row r="17" spans="1:23">
      <c r="A17" s="11">
        <f ca="1">O17</f>
        <v>867</v>
      </c>
      <c r="B17" s="83" t="s">
        <v>144</v>
      </c>
      <c r="D17" s="9"/>
      <c r="E17" s="8"/>
      <c r="F17" s="9"/>
      <c r="G17" s="12"/>
      <c r="H17" s="12"/>
      <c r="I17" s="12"/>
      <c r="J17" s="13"/>
      <c r="K17" s="18" t="s">
        <v>60</v>
      </c>
      <c r="L17" s="20" t="s">
        <v>122</v>
      </c>
      <c r="N17" s="69"/>
      <c r="O17" s="45" cm="1">
        <f t="array" aca="1" ref="O17" ca="1">ROUND(IF($K17="Y",VLOOKUP($L17,INDIRECT($L$2),O$8,0)*INDIRECT($K$3),VLOOKUP($L17,INDIRECT($L$2),O$8,0)),IF(LEFT($B17,1)="N",3,0))</f>
        <v>867</v>
      </c>
      <c r="S17" s="51" t="str">
        <f t="shared" ref="S17:S35" si="3">K17</f>
        <v>Y</v>
      </c>
      <c r="T17" s="51" t="str">
        <f t="shared" ref="T17:T35" si="4">L17</f>
        <v>8th Year</v>
      </c>
      <c r="U17" s="51"/>
      <c r="V17" s="71"/>
      <c r="W17" s="72">
        <f t="shared" ref="W17:W35" ca="1" si="5">ROUNDUP(O17/2080,3)</f>
        <v>0.41699999999999998</v>
      </c>
    </row>
    <row r="18" spans="1:23">
      <c r="A18" s="11">
        <f ca="1">O18</f>
        <v>1122</v>
      </c>
      <c r="B18" s="83" t="s">
        <v>145</v>
      </c>
      <c r="D18" s="9"/>
      <c r="E18" s="8"/>
      <c r="F18" s="9"/>
      <c r="G18" s="12"/>
      <c r="H18" s="12"/>
      <c r="I18" s="12"/>
      <c r="J18" s="13"/>
      <c r="K18" s="18" t="s">
        <v>60</v>
      </c>
      <c r="L18" s="20" t="s">
        <v>123</v>
      </c>
      <c r="N18" s="69"/>
      <c r="O18" s="45" cm="1">
        <f t="array" aca="1" ref="O18" ca="1">ROUND(IF($K18="Y",VLOOKUP($L18,INDIRECT($L$2),O$8,0)*INDIRECT($K$3),VLOOKUP($L18,INDIRECT($L$2),O$8,0)),IF(LEFT($B18,1)="N",3,0))</f>
        <v>1122</v>
      </c>
      <c r="S18" s="51" t="str">
        <f t="shared" si="3"/>
        <v>Y</v>
      </c>
      <c r="T18" s="51" t="str">
        <f t="shared" si="4"/>
        <v>9th Year</v>
      </c>
      <c r="U18" s="51"/>
      <c r="V18" s="71"/>
      <c r="W18" s="72">
        <f t="shared" ca="1" si="5"/>
        <v>0.54</v>
      </c>
    </row>
    <row r="19" spans="1:23">
      <c r="A19" s="11">
        <f ca="1">O19</f>
        <v>1376</v>
      </c>
      <c r="B19" s="83" t="s">
        <v>146</v>
      </c>
      <c r="D19" s="9"/>
      <c r="E19" s="8"/>
      <c r="F19" s="9"/>
      <c r="G19" s="12"/>
      <c r="H19" s="12"/>
      <c r="I19" s="12"/>
      <c r="J19" s="13"/>
      <c r="K19" s="18" t="s">
        <v>60</v>
      </c>
      <c r="L19" s="20" t="s">
        <v>124</v>
      </c>
      <c r="N19" s="69"/>
      <c r="O19" s="45" cm="1">
        <f t="array" aca="1" ref="O19" ca="1">ROUND(IF($K19="Y",VLOOKUP($L19,INDIRECT($L$2),O$8,0)*INDIRECT($K$3),VLOOKUP($L19,INDIRECT($L$2),O$8,0)),IF(LEFT($B19,1)="N",3,0))</f>
        <v>1376</v>
      </c>
      <c r="S19" s="51" t="str">
        <f t="shared" si="3"/>
        <v>Y</v>
      </c>
      <c r="T19" s="51" t="str">
        <f t="shared" si="4"/>
        <v>10th Year</v>
      </c>
      <c r="U19" s="51"/>
      <c r="V19" s="71"/>
      <c r="W19" s="72">
        <f t="shared" ca="1" si="5"/>
        <v>0.66200000000000003</v>
      </c>
    </row>
    <row r="20" spans="1:23">
      <c r="A20" s="11">
        <f t="shared" ref="A20:A35" ca="1" si="6">O20</f>
        <v>1631</v>
      </c>
      <c r="B20" s="83" t="s">
        <v>147</v>
      </c>
      <c r="C20" s="9"/>
      <c r="D20" s="9"/>
      <c r="E20" s="8"/>
      <c r="F20" s="9"/>
      <c r="G20" s="12"/>
      <c r="H20" s="12"/>
      <c r="I20" s="12"/>
      <c r="J20" s="13"/>
      <c r="K20" s="18" t="s">
        <v>60</v>
      </c>
      <c r="L20" s="20" t="s">
        <v>125</v>
      </c>
      <c r="O20" s="45" cm="1">
        <f t="array" aca="1" ref="O20" ca="1">ROUND(IF($K20="Y",VLOOKUP($L20,INDIRECT($L$2),O$8,0)*INDIRECT($K$3),VLOOKUP($L20,INDIRECT($L$2),O$8,0)),IF(LEFT($C20,1)="N",3,0))</f>
        <v>1631</v>
      </c>
      <c r="S20" s="51" t="str">
        <f t="shared" si="3"/>
        <v>Y</v>
      </c>
      <c r="T20" s="51" t="str">
        <f t="shared" si="4"/>
        <v>11th Year</v>
      </c>
      <c r="W20" s="72">
        <f t="shared" ca="1" si="5"/>
        <v>0.78500000000000003</v>
      </c>
    </row>
    <row r="21" spans="1:23">
      <c r="A21" s="11">
        <f t="shared" ca="1" si="6"/>
        <v>4997</v>
      </c>
      <c r="B21" s="83" t="s">
        <v>148</v>
      </c>
      <c r="K21" s="18" t="s">
        <v>60</v>
      </c>
      <c r="L21" s="18" t="s">
        <v>126</v>
      </c>
      <c r="O21" s="45" cm="1">
        <f t="array" aca="1" ref="O21" ca="1">ROUND(IF($K21="Y",VLOOKUP($L21,INDIRECT($L$2),O$8,0)*INDIRECT($K$3),VLOOKUP($L21,INDIRECT($L$2),O$8,0)),IF(LEFT($C21,1)="N",3,0))</f>
        <v>4997</v>
      </c>
      <c r="S21" s="51" t="str">
        <f t="shared" si="3"/>
        <v>Y</v>
      </c>
      <c r="T21" s="51" t="str">
        <f t="shared" si="4"/>
        <v>12th Year</v>
      </c>
      <c r="W21" s="72">
        <f t="shared" ca="1" si="5"/>
        <v>2.403</v>
      </c>
    </row>
    <row r="22" spans="1:23">
      <c r="A22" s="11">
        <f t="shared" ca="1" si="6"/>
        <v>5251</v>
      </c>
      <c r="B22" s="84" t="s">
        <v>149</v>
      </c>
      <c r="K22" s="18" t="s">
        <v>60</v>
      </c>
      <c r="L22" s="18" t="s">
        <v>127</v>
      </c>
      <c r="O22" s="45" cm="1">
        <f t="array" aca="1" ref="O22" ca="1">ROUND(IF($K22="Y",VLOOKUP($L22,INDIRECT($L$2),O$8,0)*INDIRECT($K$3),VLOOKUP($L22,INDIRECT($L$2),O$8,0)),IF(LEFT($C22,1)="N",3,0))</f>
        <v>5251</v>
      </c>
      <c r="S22" s="51" t="str">
        <f t="shared" si="3"/>
        <v>Y</v>
      </c>
      <c r="T22" s="51" t="str">
        <f t="shared" si="4"/>
        <v>13th Year</v>
      </c>
      <c r="W22" s="72">
        <f t="shared" ca="1" si="5"/>
        <v>2.5249999999999999</v>
      </c>
    </row>
    <row r="23" spans="1:23">
      <c r="A23" s="11">
        <f t="shared" ca="1" si="6"/>
        <v>5506</v>
      </c>
      <c r="B23" s="83" t="s">
        <v>150</v>
      </c>
      <c r="K23" s="18" t="s">
        <v>60</v>
      </c>
      <c r="L23" s="18" t="s">
        <v>128</v>
      </c>
      <c r="O23" s="45" cm="1">
        <f t="array" aca="1" ref="O23" ca="1">ROUND(IF($K23="Y",VLOOKUP($L23,INDIRECT($L$2),O$8,0)*INDIRECT($K$3),VLOOKUP($L23,INDIRECT($L$2),O$8,0)),IF(LEFT($C23,1)="N",3,0))</f>
        <v>5506</v>
      </c>
      <c r="S23" s="51" t="str">
        <f t="shared" si="3"/>
        <v>Y</v>
      </c>
      <c r="T23" s="51" t="str">
        <f t="shared" si="4"/>
        <v>14th Year</v>
      </c>
      <c r="W23" s="72">
        <f t="shared" ca="1" si="5"/>
        <v>2.6479999999999997</v>
      </c>
    </row>
    <row r="24" spans="1:23">
      <c r="A24" s="11">
        <f t="shared" ca="1" si="6"/>
        <v>7057</v>
      </c>
      <c r="B24" s="83" t="s">
        <v>151</v>
      </c>
      <c r="K24" s="18" t="s">
        <v>60</v>
      </c>
      <c r="L24" s="18" t="s">
        <v>129</v>
      </c>
      <c r="O24" s="45" cm="1">
        <f t="array" aca="1" ref="O24" ca="1">ROUND(IF($K24="Y",VLOOKUP($L24,INDIRECT($L$2),O$8,0)*INDIRECT($K$3),VLOOKUP($L24,INDIRECT($L$2),O$8,0)),IF(LEFT($C24,1)="N",3,0))</f>
        <v>7057</v>
      </c>
      <c r="S24" s="51" t="str">
        <f t="shared" si="3"/>
        <v>Y</v>
      </c>
      <c r="T24" s="51" t="str">
        <f t="shared" si="4"/>
        <v>15th Year</v>
      </c>
      <c r="W24" s="72">
        <f t="shared" ca="1" si="5"/>
        <v>3.3929999999999998</v>
      </c>
    </row>
    <row r="25" spans="1:23">
      <c r="A25" s="11">
        <f t="shared" ca="1" si="6"/>
        <v>7311</v>
      </c>
      <c r="B25" s="83" t="s">
        <v>152</v>
      </c>
      <c r="K25" s="18" t="s">
        <v>60</v>
      </c>
      <c r="L25" s="18" t="s">
        <v>130</v>
      </c>
      <c r="O25" s="45" cm="1">
        <f t="array" aca="1" ref="O25" ca="1">ROUND(IF($K25="Y",VLOOKUP($L25,INDIRECT($L$2),O$8,0)*INDIRECT($K$3),VLOOKUP($L25,INDIRECT($L$2),O$8,0)),IF(LEFT($C25,1)="N",3,0))</f>
        <v>7311</v>
      </c>
      <c r="S25" s="51" t="str">
        <f t="shared" si="3"/>
        <v>Y</v>
      </c>
      <c r="T25" s="51" t="str">
        <f t="shared" si="4"/>
        <v>16th Year</v>
      </c>
      <c r="W25" s="72">
        <f t="shared" ca="1" si="5"/>
        <v>3.5149999999999997</v>
      </c>
    </row>
    <row r="26" spans="1:23">
      <c r="A26" s="11">
        <f t="shared" ca="1" si="6"/>
        <v>7566</v>
      </c>
      <c r="B26" s="83" t="s">
        <v>153</v>
      </c>
      <c r="K26" s="18" t="s">
        <v>60</v>
      </c>
      <c r="L26" s="18" t="s">
        <v>131</v>
      </c>
      <c r="O26" s="45" cm="1">
        <f t="array" aca="1" ref="O26" ca="1">ROUND(IF($K26="Y",VLOOKUP($L26,INDIRECT($L$2),O$8,0)*INDIRECT($K$3),VLOOKUP($L26,INDIRECT($L$2),O$8,0)),IF(LEFT($C26,1)="N",3,0))</f>
        <v>7566</v>
      </c>
      <c r="S26" s="51" t="str">
        <f t="shared" si="3"/>
        <v>Y</v>
      </c>
      <c r="T26" s="51" t="str">
        <f t="shared" si="4"/>
        <v>17th Year</v>
      </c>
      <c r="W26" s="72">
        <f t="shared" ca="1" si="5"/>
        <v>3.6379999999999999</v>
      </c>
    </row>
    <row r="27" spans="1:23">
      <c r="A27" s="11">
        <f t="shared" ca="1" si="6"/>
        <v>7820</v>
      </c>
      <c r="B27" s="83" t="s">
        <v>154</v>
      </c>
      <c r="K27" s="18" t="s">
        <v>60</v>
      </c>
      <c r="L27" s="18" t="s">
        <v>132</v>
      </c>
      <c r="O27" s="45" cm="1">
        <f t="array" aca="1" ref="O27" ca="1">ROUND(IF($K27="Y",VLOOKUP($L27,INDIRECT($L$2),O$8,0)*INDIRECT($K$3),VLOOKUP($L27,INDIRECT($L$2),O$8,0)),IF(LEFT($C27,1)="N",3,0))</f>
        <v>7820</v>
      </c>
      <c r="S27" s="51" t="str">
        <f t="shared" si="3"/>
        <v>Y</v>
      </c>
      <c r="T27" s="51" t="str">
        <f t="shared" si="4"/>
        <v>18th Year</v>
      </c>
      <c r="W27" s="72">
        <f t="shared" ca="1" si="5"/>
        <v>3.76</v>
      </c>
    </row>
    <row r="28" spans="1:23">
      <c r="A28" s="11">
        <f t="shared" ca="1" si="6"/>
        <v>8075</v>
      </c>
      <c r="B28" s="83" t="s">
        <v>155</v>
      </c>
      <c r="K28" s="18" t="s">
        <v>60</v>
      </c>
      <c r="L28" s="18" t="s">
        <v>133</v>
      </c>
      <c r="O28" s="45" cm="1">
        <f t="array" aca="1" ref="O28" ca="1">ROUND(IF($K28="Y",VLOOKUP($L28,INDIRECT($L$2),O$8,0)*INDIRECT($K$3),VLOOKUP($L28,INDIRECT($L$2),O$8,0)),IF(LEFT($C28,1)="N",3,0))</f>
        <v>8075</v>
      </c>
      <c r="S28" s="51" t="str">
        <f t="shared" si="3"/>
        <v>Y</v>
      </c>
      <c r="T28" s="51" t="str">
        <f t="shared" si="4"/>
        <v>19th Year</v>
      </c>
      <c r="W28" s="72">
        <f t="shared" ca="1" si="5"/>
        <v>3.883</v>
      </c>
    </row>
    <row r="29" spans="1:23">
      <c r="A29" s="11">
        <f t="shared" ca="1" si="6"/>
        <v>10144</v>
      </c>
      <c r="B29" s="83" t="s">
        <v>156</v>
      </c>
      <c r="K29" s="18" t="s">
        <v>60</v>
      </c>
      <c r="L29" s="18" t="s">
        <v>134</v>
      </c>
      <c r="O29" s="45" cm="1">
        <f t="array" aca="1" ref="O29" ca="1">ROUND(IF($K29="Y",VLOOKUP($L29,INDIRECT($L$2),O$8,0)*INDIRECT($K$3),VLOOKUP($L29,INDIRECT($L$2),O$8,0)),IF(LEFT($C29,1)="N",3,0))</f>
        <v>10144</v>
      </c>
      <c r="S29" s="51" t="str">
        <f t="shared" si="3"/>
        <v>Y</v>
      </c>
      <c r="T29" s="51" t="str">
        <f t="shared" si="4"/>
        <v>20th Year</v>
      </c>
      <c r="W29" s="72">
        <f t="shared" ca="1" si="5"/>
        <v>4.8770000000000007</v>
      </c>
    </row>
    <row r="30" spans="1:23">
      <c r="A30" s="11">
        <f t="shared" ca="1" si="6"/>
        <v>10399</v>
      </c>
      <c r="B30" s="83" t="s">
        <v>157</v>
      </c>
      <c r="K30" s="18" t="s">
        <v>60</v>
      </c>
      <c r="L30" s="18" t="s">
        <v>135</v>
      </c>
      <c r="O30" s="45" cm="1">
        <f t="array" aca="1" ref="O30" ca="1">ROUND(IF($K30="Y",VLOOKUP($L30,INDIRECT($L$2),O$8,0)*INDIRECT($K$3),VLOOKUP($L30,INDIRECT($L$2),O$8,0)),IF(LEFT($C30,1)="N",3,0))</f>
        <v>10399</v>
      </c>
      <c r="S30" s="51" t="str">
        <f t="shared" si="3"/>
        <v>Y</v>
      </c>
      <c r="T30" s="51" t="str">
        <f t="shared" si="4"/>
        <v>21st Year</v>
      </c>
      <c r="W30" s="72">
        <f t="shared" ca="1" si="5"/>
        <v>5</v>
      </c>
    </row>
    <row r="31" spans="1:23">
      <c r="A31" s="11">
        <f t="shared" ca="1" si="6"/>
        <v>10653</v>
      </c>
      <c r="B31" s="83" t="s">
        <v>158</v>
      </c>
      <c r="K31" s="18" t="s">
        <v>60</v>
      </c>
      <c r="L31" s="18" t="s">
        <v>136</v>
      </c>
      <c r="O31" s="45" cm="1">
        <f t="array" aca="1" ref="O31" ca="1">ROUND(IF($K31="Y",VLOOKUP($L31,INDIRECT($L$2),O$8,0)*INDIRECT($K$3),VLOOKUP($L31,INDIRECT($L$2),O$8,0)),IF(LEFT($C31,1)="N",3,0))</f>
        <v>10653</v>
      </c>
      <c r="S31" s="51" t="str">
        <f t="shared" si="3"/>
        <v>Y</v>
      </c>
      <c r="T31" s="51" t="str">
        <f t="shared" si="4"/>
        <v>22nd Year</v>
      </c>
      <c r="W31" s="72">
        <f t="shared" ca="1" si="5"/>
        <v>5.1220000000000008</v>
      </c>
    </row>
    <row r="32" spans="1:23">
      <c r="A32" s="11">
        <f t="shared" ca="1" si="6"/>
        <v>10907</v>
      </c>
      <c r="B32" s="83" t="s">
        <v>159</v>
      </c>
      <c r="K32" s="18" t="s">
        <v>60</v>
      </c>
      <c r="L32" s="18" t="s">
        <v>137</v>
      </c>
      <c r="O32" s="45" cm="1">
        <f t="array" aca="1" ref="O32" ca="1">ROUND(IF($K32="Y",VLOOKUP($L32,INDIRECT($L$2),O$8,0)*INDIRECT($K$3),VLOOKUP($L32,INDIRECT($L$2),O$8,0)),IF(LEFT($C32,1)="N",3,0))</f>
        <v>10907</v>
      </c>
      <c r="S32" s="51" t="str">
        <f t="shared" si="3"/>
        <v>Y</v>
      </c>
      <c r="T32" s="51" t="str">
        <f t="shared" si="4"/>
        <v>23rd Year</v>
      </c>
      <c r="W32" s="72">
        <f t="shared" ca="1" si="5"/>
        <v>5.2440000000000007</v>
      </c>
    </row>
    <row r="33" spans="1:23">
      <c r="A33" s="11">
        <f t="shared" ca="1" si="6"/>
        <v>11162</v>
      </c>
      <c r="B33" s="83" t="s">
        <v>160</v>
      </c>
      <c r="K33" s="18" t="s">
        <v>60</v>
      </c>
      <c r="L33" s="18" t="s">
        <v>138</v>
      </c>
      <c r="O33" s="45" cm="1">
        <f t="array" aca="1" ref="O33" ca="1">ROUND(IF($K33="Y",VLOOKUP($L33,INDIRECT($L$2),O$8,0)*INDIRECT($K$3),VLOOKUP($L33,INDIRECT($L$2),O$8,0)),IF(LEFT($C33,1)="N",3,0))</f>
        <v>11162</v>
      </c>
      <c r="S33" s="51" t="str">
        <f t="shared" si="3"/>
        <v>Y</v>
      </c>
      <c r="T33" s="51" t="str">
        <f t="shared" si="4"/>
        <v>24th Year</v>
      </c>
      <c r="W33" s="72">
        <f t="shared" ca="1" si="5"/>
        <v>5.367</v>
      </c>
    </row>
    <row r="34" spans="1:23">
      <c r="A34" s="11">
        <f t="shared" ca="1" si="6"/>
        <v>12194</v>
      </c>
      <c r="B34" s="83" t="s">
        <v>161</v>
      </c>
      <c r="K34" s="18" t="s">
        <v>60</v>
      </c>
      <c r="L34" s="18" t="s">
        <v>139</v>
      </c>
      <c r="O34" s="45" cm="1">
        <f t="array" aca="1" ref="O34" ca="1">ROUND(IF($K34="Y",VLOOKUP($L34,INDIRECT($L$2),O$8,0)*INDIRECT($K$3),VLOOKUP($L34,INDIRECT($L$2),O$8,0)),IF(LEFT($C34,1)="N",3,0))</f>
        <v>12194</v>
      </c>
      <c r="S34" s="51" t="str">
        <f t="shared" si="3"/>
        <v>Y</v>
      </c>
      <c r="T34" s="51" t="str">
        <f t="shared" si="4"/>
        <v>25th Year</v>
      </c>
      <c r="W34" s="72">
        <f t="shared" ca="1" si="5"/>
        <v>5.8630000000000004</v>
      </c>
    </row>
    <row r="35" spans="1:23">
      <c r="A35" s="11">
        <f t="shared" ca="1" si="6"/>
        <v>12486</v>
      </c>
      <c r="B35" s="83" t="s">
        <v>162</v>
      </c>
      <c r="K35" s="18" t="s">
        <v>60</v>
      </c>
      <c r="L35" s="18" t="s">
        <v>140</v>
      </c>
      <c r="O35" s="45" cm="1">
        <f t="array" aca="1" ref="O35" ca="1">ROUND(IF($K35="Y",VLOOKUP($L35,INDIRECT($L$2),O$8,0)*INDIRECT($K$3),VLOOKUP($L35,INDIRECT($L$2),O$8,0)),IF(LEFT($C35,1)="N",3,0))</f>
        <v>12486</v>
      </c>
      <c r="S35" s="51" t="str">
        <f t="shared" si="3"/>
        <v>Y</v>
      </c>
      <c r="T35" s="51" t="str">
        <f t="shared" si="4"/>
        <v>26th Year</v>
      </c>
      <c r="W35" s="72">
        <f t="shared" ca="1" si="5"/>
        <v>6.0030000000000001</v>
      </c>
    </row>
    <row r="37" spans="1:23">
      <c r="A37" s="86" t="s">
        <v>167</v>
      </c>
    </row>
    <row r="38" spans="1:23">
      <c r="A38" s="83" t="s">
        <v>164</v>
      </c>
    </row>
    <row r="39" spans="1:23">
      <c r="A39" s="94" t="s">
        <v>166</v>
      </c>
    </row>
    <row r="40" spans="1:23">
      <c r="A40" s="55" t="s">
        <v>165</v>
      </c>
    </row>
    <row r="42" spans="1:23">
      <c r="A42" s="86" t="s">
        <v>175</v>
      </c>
      <c r="K42" s="18" t="s">
        <v>63</v>
      </c>
      <c r="L42" s="116" t="s">
        <v>179</v>
      </c>
      <c r="O42" s="45" cm="1">
        <f t="array" aca="1" ref="O42" ca="1">ROUND(IF($K42="Y",VLOOKUP($L42,INDIRECT($L$2),O$8,0)*INDIRECT($K$3),VLOOKUP($L42,INDIRECT($L$2),O$8,0)),IF(LEFT($C42,1)="N",3,0))</f>
        <v>750</v>
      </c>
      <c r="S42" s="51" t="str">
        <f t="shared" ref="S42" si="7">K42</f>
        <v>N</v>
      </c>
      <c r="T42" s="21" t="str">
        <f>L42</f>
        <v>Clothing/Equipment Allowance - Current Emps</v>
      </c>
      <c r="W42" s="119">
        <f ca="1">O42</f>
        <v>750</v>
      </c>
    </row>
    <row r="43" spans="1:23">
      <c r="A43" s="85" t="str">
        <f>"Current employees are eligible for an allowance of "&amp;TEXT(750,"$###")&amp;" per year. The allowance will be paid on the first payroll date on or about June 1"</f>
        <v>Current employees are eligible for an allowance of $750 per year. The allowance will be paid on the first payroll date on or about June 1</v>
      </c>
    </row>
    <row r="44" spans="1:23">
      <c r="A44" s="85" t="s">
        <v>176</v>
      </c>
      <c r="K44" s="18" t="s">
        <v>63</v>
      </c>
      <c r="L44" s="116" t="s">
        <v>180</v>
      </c>
      <c r="O44" s="45" cm="1">
        <f t="array" aca="1" ref="O44" ca="1">ROUND(IF($K44="Y",VLOOKUP($L44,INDIRECT($L$2),O$8,0)*INDIRECT($K$3),VLOOKUP($L44,INDIRECT($L$2),O$8,0)),IF(LEFT($C44,1)="N",3,0))</f>
        <v>1500</v>
      </c>
      <c r="S44" s="51" t="str">
        <f t="shared" ref="S44" si="8">K44</f>
        <v>N</v>
      </c>
      <c r="T44" s="21" t="str">
        <f>L44</f>
        <v>Clothing/Equipment Allowance - New Emps</v>
      </c>
      <c r="W44" s="119">
        <f ca="1">O44</f>
        <v>1500</v>
      </c>
    </row>
    <row r="45" spans="1:23">
      <c r="A45" s="85" t="s">
        <v>177</v>
      </c>
    </row>
    <row r="46" spans="1:23">
      <c r="A46" s="85" t="s">
        <v>178</v>
      </c>
    </row>
    <row r="47" spans="1:23">
      <c r="A47" s="85"/>
    </row>
    <row r="48" spans="1:23">
      <c r="A48" s="85"/>
    </row>
    <row r="49" spans="1:1">
      <c r="A49" s="117"/>
    </row>
    <row r="50" spans="1:1">
      <c r="A50" s="117"/>
    </row>
    <row r="51" spans="1:1">
      <c r="A51" s="117"/>
    </row>
    <row r="52" spans="1:1">
      <c r="A52" s="117"/>
    </row>
    <row r="53" spans="1:1">
      <c r="A53" s="118"/>
    </row>
  </sheetData>
  <sheetProtection sheet="1" objects="1" scenarios="1"/>
  <mergeCells count="3">
    <mergeCell ref="A1:D1"/>
    <mergeCell ref="A2:I2"/>
    <mergeCell ref="B8:F8"/>
  </mergeCells>
  <conditionalFormatting sqref="G10:I11">
    <cfRule type="cellIs" dxfId="17" priority="5" operator="equal">
      <formula>0</formula>
    </cfRule>
    <cfRule type="cellIs" dxfId="16" priority="6" operator="greaterThanOrEqual">
      <formula>100</formula>
    </cfRule>
    <cfRule type="cellIs" dxfId="15" priority="7" operator="lessThan">
      <formula>100</formula>
    </cfRule>
  </conditionalFormatting>
  <conditionalFormatting sqref="O42">
    <cfRule type="cellIs" dxfId="14" priority="3" operator="lessThan">
      <formula>100</formula>
    </cfRule>
    <cfRule type="cellIs" dxfId="13" priority="4" operator="greaterThanOrEqual">
      <formula>100</formula>
    </cfRule>
  </conditionalFormatting>
  <conditionalFormatting sqref="O44">
    <cfRule type="cellIs" dxfId="12" priority="1" operator="lessThan">
      <formula>100</formula>
    </cfRule>
    <cfRule type="cellIs" dxfId="11" priority="2" operator="greaterThanOrEqual">
      <formula>100</formula>
    </cfRule>
  </conditionalFormatting>
  <conditionalFormatting sqref="O10:Q19 P20:Q20 O20:O35">
    <cfRule type="cellIs" dxfId="10" priority="8" operator="lessThan">
      <formula>100</formula>
    </cfRule>
    <cfRule type="cellIs" dxfId="9" priority="9" operator="greaterThanOrEqual">
      <formula>100</formula>
    </cfRule>
  </conditionalFormatting>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F54A3-1FD5-4B1E-838B-B21D525CC08D}">
  <sheetPr>
    <tabColor theme="1"/>
  </sheetPr>
  <dimension ref="A1:Z46"/>
  <sheetViews>
    <sheetView showGridLines="0" zoomScale="85" zoomScaleNormal="85" workbookViewId="0">
      <selection activeCell="E24" sqref="E24"/>
    </sheetView>
  </sheetViews>
  <sheetFormatPr defaultColWidth="9.33203125" defaultRowHeight="15.6"/>
  <cols>
    <col min="1" max="1" width="14.5546875" style="4" customWidth="1"/>
    <col min="2" max="2" width="50.33203125" style="56" customWidth="1"/>
    <col min="3" max="3" width="10" style="4" customWidth="1"/>
    <col min="4" max="4" width="9.5546875" style="57" customWidth="1"/>
    <col min="5" max="5" width="7.6640625" style="4" customWidth="1"/>
    <col min="6" max="6" width="8.6640625" style="4" bestFit="1" customWidth="1"/>
    <col min="7" max="9" width="11.5546875" style="58" bestFit="1" customWidth="1"/>
    <col min="10" max="10" width="11.44140625" style="58" hidden="1" customWidth="1"/>
    <col min="11" max="11" width="20.88671875" style="18" hidden="1" customWidth="1"/>
    <col min="12" max="12" width="12.44140625" style="18" hidden="1" customWidth="1"/>
    <col min="13" max="13" width="11.44140625" style="19" hidden="1" customWidth="1"/>
    <col min="14" max="14" width="45.5546875" style="19" hidden="1" customWidth="1"/>
    <col min="15" max="17" width="11.44140625" style="18" hidden="1" customWidth="1"/>
    <col min="18" max="18" width="11.44140625" style="3" hidden="1" customWidth="1"/>
    <col min="19" max="21" width="11.44140625" style="21" hidden="1" customWidth="1"/>
    <col min="22" max="22" width="45.5546875" style="21" hidden="1" customWidth="1"/>
    <col min="23" max="25" width="11.44140625" style="21" hidden="1" customWidth="1"/>
    <col min="26" max="26" width="11.44140625" style="3" hidden="1" customWidth="1"/>
    <col min="27" max="29" width="11.44140625" style="3" customWidth="1"/>
    <col min="30" max="16384" width="9.33203125" style="3"/>
  </cols>
  <sheetData>
    <row r="1" spans="1:26">
      <c r="A1" s="124" t="s">
        <v>85</v>
      </c>
      <c r="B1" s="124"/>
      <c r="C1" s="124"/>
      <c r="D1" s="124"/>
      <c r="K1" s="78" t="s">
        <v>93</v>
      </c>
      <c r="L1" s="79">
        <v>45658</v>
      </c>
    </row>
    <row r="2" spans="1:26" ht="15.75" customHeight="1">
      <c r="A2" s="121" t="s">
        <v>112</v>
      </c>
      <c r="B2" s="122"/>
      <c r="C2" s="122"/>
      <c r="D2" s="122"/>
      <c r="E2" s="122"/>
      <c r="F2" s="122"/>
      <c r="G2" s="122"/>
      <c r="H2" s="122"/>
      <c r="I2" s="122"/>
      <c r="J2" s="26"/>
      <c r="K2" s="66" t="s">
        <v>62</v>
      </c>
      <c r="L2" s="67" t="str">
        <f>"Data"&amp;VLOOKUP(MONTH(L1),Months,2,0)&amp;YEAR(L1)</f>
        <v>DataJan2025</v>
      </c>
    </row>
    <row r="3" spans="1:26" s="1" customFormat="1">
      <c r="A3" s="62" t="s">
        <v>91</v>
      </c>
      <c r="B3" s="63">
        <v>46023</v>
      </c>
      <c r="C3" s="65">
        <v>0.04</v>
      </c>
      <c r="D3" s="64" t="s">
        <v>99</v>
      </c>
      <c r="E3" s="62"/>
      <c r="F3" s="28"/>
      <c r="G3" s="28"/>
      <c r="H3" s="28"/>
      <c r="I3" s="28"/>
      <c r="J3" s="28"/>
      <c r="K3" s="80" t="str">
        <f>"IncrPerc"&amp;VLOOKUP(MONTH(B3),Months,2,0)&amp;YEAR(B3)</f>
        <v>IncrPercJan2026</v>
      </c>
      <c r="L3" s="27">
        <f>C3+1</f>
        <v>1.04</v>
      </c>
      <c r="M3" s="31"/>
      <c r="N3" s="31"/>
      <c r="O3" s="30"/>
      <c r="P3" s="30"/>
      <c r="Q3" s="30"/>
      <c r="S3" s="32"/>
      <c r="T3" s="32"/>
      <c r="U3" s="32"/>
      <c r="V3" s="32"/>
      <c r="W3" s="32"/>
      <c r="X3" s="32"/>
      <c r="Y3" s="32"/>
    </row>
    <row r="4" spans="1:26" s="1" customFormat="1">
      <c r="A4" s="74" t="s">
        <v>92</v>
      </c>
      <c r="B4" s="75">
        <v>45838</v>
      </c>
      <c r="C4" s="28"/>
      <c r="D4" s="28"/>
      <c r="E4" s="28"/>
      <c r="F4" s="28"/>
      <c r="G4" s="28"/>
      <c r="H4" s="28"/>
      <c r="I4" s="28"/>
      <c r="J4" s="28"/>
      <c r="K4" s="29"/>
      <c r="L4" s="30"/>
      <c r="M4" s="31"/>
      <c r="N4" s="31"/>
      <c r="O4" s="30"/>
      <c r="P4" s="30"/>
      <c r="Q4" s="30"/>
      <c r="S4" s="32"/>
      <c r="T4" s="32"/>
      <c r="U4" s="32"/>
      <c r="V4" s="32"/>
      <c r="W4" s="32"/>
      <c r="X4" s="32"/>
      <c r="Y4" s="32"/>
    </row>
    <row r="5" spans="1:26" s="1" customFormat="1">
      <c r="A5" s="74"/>
      <c r="B5" s="28"/>
      <c r="C5" s="28"/>
      <c r="D5" s="28"/>
      <c r="E5" s="28"/>
      <c r="F5" s="28"/>
      <c r="G5" s="28"/>
      <c r="H5" s="28"/>
      <c r="I5" s="28"/>
      <c r="J5" s="28"/>
      <c r="K5" s="29"/>
      <c r="L5" s="30"/>
      <c r="M5" s="31"/>
      <c r="N5" s="31"/>
      <c r="O5" s="30"/>
      <c r="P5" s="30"/>
      <c r="Q5" s="30"/>
      <c r="S5" s="32"/>
      <c r="T5" s="32"/>
      <c r="U5" s="32"/>
      <c r="V5" s="32"/>
      <c r="W5" s="32"/>
      <c r="X5" s="32"/>
      <c r="Y5" s="32"/>
    </row>
    <row r="6" spans="1:26" s="1" customFormat="1">
      <c r="K6" s="29"/>
      <c r="L6" s="30"/>
      <c r="M6" s="31"/>
      <c r="N6" s="31"/>
      <c r="O6" s="30"/>
      <c r="P6" s="30"/>
      <c r="Q6" s="30"/>
      <c r="S6" s="32"/>
      <c r="T6" s="32"/>
      <c r="U6" s="32"/>
      <c r="V6" s="32"/>
      <c r="W6" s="32"/>
      <c r="X6" s="32"/>
      <c r="Y6" s="32"/>
    </row>
    <row r="7" spans="1:26" s="1" customFormat="1">
      <c r="A7" s="22"/>
      <c r="B7" s="33"/>
      <c r="C7" s="33"/>
      <c r="D7" s="33"/>
      <c r="E7" s="33"/>
      <c r="F7" s="33"/>
      <c r="G7" s="33"/>
      <c r="H7" s="33"/>
      <c r="I7" s="33"/>
      <c r="J7" s="33"/>
      <c r="K7" s="29"/>
      <c r="L7" s="30"/>
      <c r="M7" s="31"/>
      <c r="N7" s="31"/>
      <c r="O7" s="30"/>
      <c r="P7" s="30"/>
      <c r="Q7" s="30"/>
      <c r="S7" s="32"/>
      <c r="T7" s="32"/>
      <c r="U7" s="32"/>
      <c r="V7" s="32"/>
      <c r="W7" s="32"/>
      <c r="X7" s="32"/>
      <c r="Y7" s="32"/>
    </row>
    <row r="8" spans="1:26" ht="16.2" thickBot="1">
      <c r="A8" s="34"/>
      <c r="B8" s="125"/>
      <c r="C8" s="125"/>
      <c r="D8" s="125"/>
      <c r="E8" s="125"/>
      <c r="F8" s="125"/>
      <c r="G8" s="35"/>
      <c r="H8" s="35"/>
      <c r="I8" s="35"/>
      <c r="J8" s="55"/>
      <c r="K8" s="20" t="s">
        <v>95</v>
      </c>
      <c r="O8" s="18">
        <v>4</v>
      </c>
      <c r="P8" s="18">
        <v>5</v>
      </c>
      <c r="Q8" s="18">
        <v>6</v>
      </c>
      <c r="S8" s="21" t="s">
        <v>96</v>
      </c>
    </row>
    <row r="9" spans="1:26" ht="31.8" thickBot="1">
      <c r="A9" s="110" t="s">
        <v>0</v>
      </c>
      <c r="B9" s="111" t="s">
        <v>2</v>
      </c>
      <c r="C9" s="112" t="s">
        <v>90</v>
      </c>
      <c r="D9" s="113" t="s">
        <v>1</v>
      </c>
      <c r="E9" s="112" t="s">
        <v>118</v>
      </c>
      <c r="F9" s="112" t="s">
        <v>5</v>
      </c>
      <c r="G9" s="114" t="s">
        <v>6</v>
      </c>
      <c r="H9" s="114" t="s">
        <v>3</v>
      </c>
      <c r="I9" s="115" t="s">
        <v>4</v>
      </c>
      <c r="J9" s="55"/>
      <c r="K9" s="36" t="s">
        <v>59</v>
      </c>
      <c r="L9" s="37" t="s">
        <v>0</v>
      </c>
      <c r="M9" s="37" t="s">
        <v>1</v>
      </c>
      <c r="N9" s="38" t="s">
        <v>2</v>
      </c>
      <c r="O9" s="39" t="s">
        <v>6</v>
      </c>
      <c r="P9" s="39" t="s">
        <v>3</v>
      </c>
      <c r="Q9" s="39" t="s">
        <v>4</v>
      </c>
      <c r="R9" s="3" t="s">
        <v>97</v>
      </c>
      <c r="S9" s="40" t="s">
        <v>59</v>
      </c>
      <c r="T9" s="41" t="s">
        <v>0</v>
      </c>
      <c r="U9" s="41" t="s">
        <v>1</v>
      </c>
      <c r="V9" s="42" t="s">
        <v>2</v>
      </c>
      <c r="W9" s="43" t="s">
        <v>6</v>
      </c>
      <c r="X9" s="43" t="s">
        <v>3</v>
      </c>
      <c r="Y9" s="43" t="s">
        <v>4</v>
      </c>
    </row>
    <row r="10" spans="1:26">
      <c r="A10" s="104" t="s">
        <v>114</v>
      </c>
      <c r="B10" s="105" t="s">
        <v>115</v>
      </c>
      <c r="C10" s="106">
        <v>14</v>
      </c>
      <c r="D10" s="107" t="s">
        <v>119</v>
      </c>
      <c r="E10" s="106" t="s">
        <v>94</v>
      </c>
      <c r="F10" s="106">
        <v>655</v>
      </c>
      <c r="G10" s="108">
        <f t="shared" ref="G10:I11" ca="1" si="0">O10</f>
        <v>179421</v>
      </c>
      <c r="H10" s="108">
        <f t="shared" ca="1" si="0"/>
        <v>186672</v>
      </c>
      <c r="I10" s="109">
        <f t="shared" ca="1" si="0"/>
        <v>198097</v>
      </c>
      <c r="J10" s="55"/>
      <c r="K10" s="20" t="s">
        <v>60</v>
      </c>
      <c r="L10" s="18" t="str">
        <f>A10</f>
        <v>C08100</v>
      </c>
      <c r="M10" s="44" t="str">
        <f>D10</f>
        <v>185</v>
      </c>
      <c r="N10" s="19" t="str">
        <f>B10</f>
        <v>Police Commander</v>
      </c>
      <c r="O10" s="45" cm="1">
        <f t="array" aca="1" ref="O10" ca="1">ROUND(IF($K10="Y",VLOOKUP($L10,INDIRECT($L$2),O$8,0)*INDIRECT($K$3),VLOOKUP($L10,INDIRECT($L$2),O$8,0)),IF(LEFT($E10,1)="N",3,0))</f>
        <v>179421</v>
      </c>
      <c r="P10" s="45" cm="1">
        <f t="array" aca="1" ref="P10" ca="1">ROUND(IF($K10="Y",VLOOKUP($L10,INDIRECT($L$2),P$8,0)*INDIRECT($K$3),VLOOKUP($L10,INDIRECT($L$2),P$8,0)),IF(LEFT($E10,1)="N",3,0))</f>
        <v>186672</v>
      </c>
      <c r="Q10" s="45" cm="1">
        <f t="array" aca="1" ref="Q10" ca="1">ROUND(IF($K10="Y",VLOOKUP($L10,INDIRECT($L$2),Q$8,0)*INDIRECT($K$3),VLOOKUP($L10,INDIRECT($L$2),Q$8,0)),IF(LEFT($E10,1)="N",3,0))</f>
        <v>198097</v>
      </c>
      <c r="R10" s="68">
        <f ca="1">COUNTIF(O10:Q10,"&gt;0")</f>
        <v>3</v>
      </c>
      <c r="S10" s="46" t="str">
        <f t="shared" ref="S10:V11" si="1">K10</f>
        <v>Y</v>
      </c>
      <c r="T10" s="21" t="str">
        <f t="shared" si="1"/>
        <v>C08100</v>
      </c>
      <c r="U10" s="47" t="str">
        <f t="shared" si="1"/>
        <v>185</v>
      </c>
      <c r="V10" s="21" t="str">
        <f t="shared" si="1"/>
        <v>Police Commander</v>
      </c>
      <c r="W10" s="48">
        <f t="shared" ref="W10:Y11" ca="1" si="2">IF(LEFT($E10,1)="N",O10,ROUNDUP(O10/2080,3))</f>
        <v>86.26100000000001</v>
      </c>
      <c r="X10" s="48">
        <f t="shared" ca="1" si="2"/>
        <v>89.747</v>
      </c>
      <c r="Y10" s="48">
        <f t="shared" ca="1" si="2"/>
        <v>95.239000000000004</v>
      </c>
      <c r="Z10" s="3">
        <f ca="1">COUNTIF(W10:Y10,"&gt;0")</f>
        <v>3</v>
      </c>
    </row>
    <row r="11" spans="1:26" ht="16.2" thickBot="1">
      <c r="A11" s="98" t="s">
        <v>116</v>
      </c>
      <c r="B11" s="99" t="s">
        <v>117</v>
      </c>
      <c r="C11" s="100">
        <v>15</v>
      </c>
      <c r="D11" s="101" t="s">
        <v>120</v>
      </c>
      <c r="E11" s="100" t="s">
        <v>94</v>
      </c>
      <c r="F11" s="100">
        <v>685</v>
      </c>
      <c r="G11" s="102">
        <f t="shared" ca="1" si="0"/>
        <v>187807</v>
      </c>
      <c r="H11" s="102">
        <f t="shared" ca="1" si="0"/>
        <v>195391</v>
      </c>
      <c r="I11" s="103">
        <f t="shared" ca="1" si="0"/>
        <v>207351</v>
      </c>
      <c r="J11" s="55"/>
      <c r="K11" s="20" t="s">
        <v>60</v>
      </c>
      <c r="L11" s="18" t="str">
        <f>A11</f>
        <v>C08140</v>
      </c>
      <c r="M11" s="44" t="str">
        <f>D11</f>
        <v>187</v>
      </c>
      <c r="N11" s="19" t="str">
        <f>B11</f>
        <v>Police Inspector</v>
      </c>
      <c r="O11" s="45" cm="1">
        <f t="array" aca="1" ref="O11" ca="1">ROUND(IF($K11="Y",VLOOKUP($L11,INDIRECT($L$2),O$8,0)*INDIRECT($K$3),VLOOKUP($L11,INDIRECT($L$2),O$8,0)),IF(LEFT($E11,1)="N",3,0))</f>
        <v>187807</v>
      </c>
      <c r="P11" s="45" cm="1">
        <f t="array" aca="1" ref="P11" ca="1">ROUND(IF($K11="Y",VLOOKUP($L11,INDIRECT($L$2),P$8,0)*INDIRECT($K$3),VLOOKUP($L11,INDIRECT($L$2),P$8,0)),IF(LEFT($E11,1)="N",3,0))</f>
        <v>195391</v>
      </c>
      <c r="Q11" s="45" cm="1">
        <f t="array" aca="1" ref="Q11" ca="1">ROUND(IF($K11="Y",VLOOKUP($L11,INDIRECT($L$2),Q$8,0)*INDIRECT($K$3),VLOOKUP($L11,INDIRECT($L$2),Q$8,0)),IF(LEFT($E11,1)="N",3,0))</f>
        <v>207351</v>
      </c>
      <c r="R11" s="68">
        <f ca="1">COUNTIF(O11:Q11,"&gt;0")</f>
        <v>3</v>
      </c>
      <c r="S11" s="46" t="str">
        <f t="shared" si="1"/>
        <v>Y</v>
      </c>
      <c r="T11" s="21" t="str">
        <f t="shared" si="1"/>
        <v>C08140</v>
      </c>
      <c r="U11" s="47" t="str">
        <f t="shared" si="1"/>
        <v>187</v>
      </c>
      <c r="V11" s="21" t="str">
        <f t="shared" si="1"/>
        <v>Police Inspector</v>
      </c>
      <c r="W11" s="48">
        <f t="shared" ca="1" si="2"/>
        <v>90.292000000000002</v>
      </c>
      <c r="X11" s="48">
        <f t="shared" ca="1" si="2"/>
        <v>93.938000000000002</v>
      </c>
      <c r="Y11" s="48">
        <f t="shared" ca="1" si="2"/>
        <v>99.688000000000002</v>
      </c>
      <c r="Z11" s="3">
        <f ca="1">COUNTIF(W11:Y11,"&gt;0")</f>
        <v>3</v>
      </c>
    </row>
    <row r="12" spans="1:26">
      <c r="A12" s="14"/>
      <c r="B12" s="17"/>
      <c r="C12" s="14"/>
      <c r="D12" s="15"/>
      <c r="E12" s="14"/>
      <c r="F12" s="14"/>
      <c r="G12" s="49"/>
      <c r="H12" s="49"/>
      <c r="I12" s="49"/>
      <c r="J12" s="49"/>
      <c r="K12" s="20"/>
    </row>
    <row r="13" spans="1:26">
      <c r="A13" s="55"/>
      <c r="B13" s="16"/>
      <c r="C13" s="9"/>
      <c r="D13" s="9"/>
      <c r="E13" s="8"/>
      <c r="F13" s="9"/>
      <c r="G13" s="11"/>
      <c r="H13" s="11"/>
      <c r="I13" s="11"/>
      <c r="J13" s="11"/>
      <c r="K13" s="20"/>
    </row>
    <row r="14" spans="1:26">
      <c r="A14" s="55"/>
      <c r="B14" s="16"/>
      <c r="C14" s="9"/>
      <c r="D14" s="9"/>
      <c r="E14" s="8"/>
      <c r="F14" s="9"/>
      <c r="G14" s="12"/>
      <c r="H14" s="12" t="s">
        <v>10</v>
      </c>
      <c r="I14" s="12"/>
      <c r="J14" s="13"/>
    </row>
    <row r="15" spans="1:26">
      <c r="A15" s="7" t="s">
        <v>163</v>
      </c>
      <c r="B15" s="55"/>
      <c r="C15" s="10"/>
      <c r="D15" s="10"/>
      <c r="E15" s="8"/>
      <c r="F15" s="9"/>
      <c r="G15" s="12"/>
      <c r="H15" s="12"/>
      <c r="I15" s="12"/>
      <c r="J15" s="13"/>
      <c r="L15" s="20" t="s">
        <v>61</v>
      </c>
      <c r="T15" s="21" t="str">
        <f>L15</f>
        <v>Longevity</v>
      </c>
      <c r="W15" s="72"/>
    </row>
    <row r="16" spans="1:26">
      <c r="A16" s="11">
        <f ca="1">O16</f>
        <v>638</v>
      </c>
      <c r="B16" s="83" t="s">
        <v>143</v>
      </c>
      <c r="C16" s="9"/>
      <c r="D16" s="9"/>
      <c r="E16" s="8"/>
      <c r="F16" s="9"/>
      <c r="G16" s="12"/>
      <c r="H16" s="12"/>
      <c r="I16" s="12"/>
      <c r="J16" s="13"/>
      <c r="K16" s="18" t="s">
        <v>60</v>
      </c>
      <c r="L16" s="20" t="s">
        <v>121</v>
      </c>
      <c r="O16" s="45" cm="1">
        <f t="array" aca="1" ref="O16" ca="1">ROUND(IF($K16="Y",VLOOKUP($L16,INDIRECT($L$2),O$8,0)*INDIRECT($K$3),VLOOKUP($L16,INDIRECT($L$2),O$8,0)),IF(LEFT($C16,1)="N",3,0))</f>
        <v>638</v>
      </c>
      <c r="S16" s="51" t="str">
        <f>K16</f>
        <v>Y</v>
      </c>
      <c r="T16" s="51" t="str">
        <f>L16</f>
        <v>7th Year</v>
      </c>
      <c r="U16" s="51"/>
      <c r="W16" s="72">
        <f ca="1">ROUNDUP(O16/2080,3)</f>
        <v>0.307</v>
      </c>
    </row>
    <row r="17" spans="1:23">
      <c r="A17" s="11">
        <f ca="1">O17</f>
        <v>902</v>
      </c>
      <c r="B17" s="83" t="s">
        <v>144</v>
      </c>
      <c r="C17" s="9"/>
      <c r="D17" s="9"/>
      <c r="E17" s="8"/>
      <c r="F17" s="9"/>
      <c r="G17" s="12"/>
      <c r="H17" s="12"/>
      <c r="I17" s="12"/>
      <c r="J17" s="13"/>
      <c r="K17" s="18" t="s">
        <v>60</v>
      </c>
      <c r="L17" s="20" t="s">
        <v>122</v>
      </c>
      <c r="O17" s="45" cm="1">
        <f t="array" aca="1" ref="O17" ca="1">ROUND(IF($K17="Y",VLOOKUP($L17,INDIRECT($L$2),O$8,0)*INDIRECT($K$3),VLOOKUP($L17,INDIRECT($L$2),O$8,0)),IF(LEFT($C17,1)="N",3,0))</f>
        <v>902</v>
      </c>
      <c r="S17" s="51" t="str">
        <f t="shared" ref="S17:S19" si="3">K17</f>
        <v>Y</v>
      </c>
      <c r="T17" s="51" t="str">
        <f t="shared" ref="T17:T19" si="4">L17</f>
        <v>8th Year</v>
      </c>
      <c r="U17" s="51"/>
      <c r="W17" s="72">
        <f t="shared" ref="W17:W19" ca="1" si="5">ROUNDUP(O17/2080,3)</f>
        <v>0.434</v>
      </c>
    </row>
    <row r="18" spans="1:23">
      <c r="A18" s="11">
        <f ca="1">O18</f>
        <v>1167</v>
      </c>
      <c r="B18" s="83" t="s">
        <v>145</v>
      </c>
      <c r="C18" s="9"/>
      <c r="D18" s="9"/>
      <c r="E18" s="8"/>
      <c r="F18" s="9"/>
      <c r="G18" s="12"/>
      <c r="H18" s="12"/>
      <c r="I18" s="12"/>
      <c r="J18" s="13"/>
      <c r="K18" s="18" t="s">
        <v>60</v>
      </c>
      <c r="L18" s="20" t="s">
        <v>123</v>
      </c>
      <c r="O18" s="45" cm="1">
        <f t="array" aca="1" ref="O18" ca="1">ROUND(IF($K18="Y",VLOOKUP($L18,INDIRECT($L$2),O$8,0)*INDIRECT($K$3),VLOOKUP($L18,INDIRECT($L$2),O$8,0)),IF(LEFT($C18,1)="N",3,0))</f>
        <v>1167</v>
      </c>
      <c r="S18" s="51" t="str">
        <f t="shared" si="3"/>
        <v>Y</v>
      </c>
      <c r="T18" s="51" t="str">
        <f t="shared" si="4"/>
        <v>9th Year</v>
      </c>
      <c r="U18" s="51"/>
      <c r="W18" s="72">
        <f t="shared" ca="1" si="5"/>
        <v>0.56200000000000006</v>
      </c>
    </row>
    <row r="19" spans="1:23">
      <c r="A19" s="11">
        <f ca="1">O19</f>
        <v>1431</v>
      </c>
      <c r="B19" s="83" t="s">
        <v>146</v>
      </c>
      <c r="C19" s="9"/>
      <c r="D19" s="9"/>
      <c r="E19" s="8"/>
      <c r="F19" s="9"/>
      <c r="G19" s="12"/>
      <c r="H19" s="12"/>
      <c r="I19" s="12"/>
      <c r="J19" s="13"/>
      <c r="K19" s="18" t="s">
        <v>60</v>
      </c>
      <c r="L19" s="20" t="s">
        <v>124</v>
      </c>
      <c r="O19" s="45" cm="1">
        <f t="array" aca="1" ref="O19" ca="1">ROUND(IF($K19="Y",VLOOKUP($L19,INDIRECT($L$2),O$8,0)*INDIRECT($K$3),VLOOKUP($L19,INDIRECT($L$2),O$8,0)),IF(LEFT($C19,1)="N",3,0))</f>
        <v>1431</v>
      </c>
      <c r="S19" s="51" t="str">
        <f t="shared" si="3"/>
        <v>Y</v>
      </c>
      <c r="T19" s="51" t="str">
        <f t="shared" si="4"/>
        <v>10th Year</v>
      </c>
      <c r="U19" s="51"/>
      <c r="W19" s="72">
        <f t="shared" ca="1" si="5"/>
        <v>0.68800000000000006</v>
      </c>
    </row>
    <row r="20" spans="1:23">
      <c r="A20" s="11">
        <f t="shared" ref="A20:A35" ca="1" si="6">O20</f>
        <v>1696</v>
      </c>
      <c r="B20" s="83" t="s">
        <v>147</v>
      </c>
      <c r="C20" s="9"/>
      <c r="D20" s="9"/>
      <c r="E20" s="8"/>
      <c r="F20" s="9"/>
      <c r="G20" s="12"/>
      <c r="H20" s="12"/>
      <c r="I20" s="12"/>
      <c r="J20" s="13"/>
      <c r="K20" s="18" t="s">
        <v>60</v>
      </c>
      <c r="L20" s="20" t="s">
        <v>125</v>
      </c>
      <c r="O20" s="45" cm="1">
        <f t="array" aca="1" ref="O20" ca="1">ROUND(IF($K20="Y",VLOOKUP($L20,INDIRECT($L$2),O$8,0)*INDIRECT($K$3),VLOOKUP($L20,INDIRECT($L$2),O$8,0)),IF(LEFT($C20,1)="N",3,0))</f>
        <v>1696</v>
      </c>
      <c r="S20" s="51" t="str">
        <f t="shared" ref="S20:S35" si="7">K20</f>
        <v>Y</v>
      </c>
      <c r="T20" s="51" t="str">
        <f t="shared" ref="T20:T35" si="8">L20</f>
        <v>11th Year</v>
      </c>
      <c r="U20" s="51"/>
      <c r="W20" s="72">
        <f t="shared" ref="W20:W35" ca="1" si="9">ROUNDUP(O20/2080,3)</f>
        <v>0.81599999999999995</v>
      </c>
    </row>
    <row r="21" spans="1:23">
      <c r="A21" s="11">
        <f t="shared" ca="1" si="6"/>
        <v>5197</v>
      </c>
      <c r="B21" s="83" t="s">
        <v>148</v>
      </c>
      <c r="K21" s="18" t="s">
        <v>60</v>
      </c>
      <c r="L21" s="18" t="s">
        <v>126</v>
      </c>
      <c r="O21" s="45" cm="1">
        <f t="array" aca="1" ref="O21" ca="1">ROUND(IF($K21="Y",VLOOKUP($L21,INDIRECT($L$2),O$8,0)*INDIRECT($K$3),VLOOKUP($L21,INDIRECT($L$2),O$8,0)),IF(LEFT($C21,1)="N",3,0))</f>
        <v>5197</v>
      </c>
      <c r="S21" s="51" t="str">
        <f t="shared" si="7"/>
        <v>Y</v>
      </c>
      <c r="T21" s="51" t="str">
        <f t="shared" si="8"/>
        <v>12th Year</v>
      </c>
      <c r="U21" s="51"/>
      <c r="W21" s="72">
        <f t="shared" ca="1" si="9"/>
        <v>2.4990000000000001</v>
      </c>
    </row>
    <row r="22" spans="1:23">
      <c r="A22" s="11">
        <f t="shared" ca="1" si="6"/>
        <v>5461</v>
      </c>
      <c r="B22" s="84" t="s">
        <v>149</v>
      </c>
      <c r="K22" s="18" t="s">
        <v>60</v>
      </c>
      <c r="L22" s="18" t="s">
        <v>127</v>
      </c>
      <c r="O22" s="45" cm="1">
        <f t="array" aca="1" ref="O22" ca="1">ROUND(IF($K22="Y",VLOOKUP($L22,INDIRECT($L$2),O$8,0)*INDIRECT($K$3),VLOOKUP($L22,INDIRECT($L$2),O$8,0)),IF(LEFT($C22,1)="N",3,0))</f>
        <v>5461</v>
      </c>
      <c r="S22" s="51" t="str">
        <f t="shared" si="7"/>
        <v>Y</v>
      </c>
      <c r="T22" s="51" t="str">
        <f t="shared" si="8"/>
        <v>13th Year</v>
      </c>
      <c r="U22" s="51"/>
      <c r="W22" s="72">
        <f t="shared" ca="1" si="9"/>
        <v>2.6259999999999999</v>
      </c>
    </row>
    <row r="23" spans="1:23">
      <c r="A23" s="11">
        <f t="shared" ca="1" si="6"/>
        <v>5726</v>
      </c>
      <c r="B23" s="83" t="s">
        <v>150</v>
      </c>
      <c r="K23" s="18" t="s">
        <v>60</v>
      </c>
      <c r="L23" s="18" t="s">
        <v>128</v>
      </c>
      <c r="O23" s="45" cm="1">
        <f t="array" aca="1" ref="O23" ca="1">ROUND(IF($K23="Y",VLOOKUP($L23,INDIRECT($L$2),O$8,0)*INDIRECT($K$3),VLOOKUP($L23,INDIRECT($L$2),O$8,0)),IF(LEFT($C23,1)="N",3,0))</f>
        <v>5726</v>
      </c>
      <c r="S23" s="51" t="str">
        <f t="shared" si="7"/>
        <v>Y</v>
      </c>
      <c r="T23" s="51" t="str">
        <f t="shared" si="8"/>
        <v>14th Year</v>
      </c>
      <c r="U23" s="51"/>
      <c r="W23" s="72">
        <f t="shared" ca="1" si="9"/>
        <v>2.7529999999999997</v>
      </c>
    </row>
    <row r="24" spans="1:23">
      <c r="A24" s="11">
        <f t="shared" ca="1" si="6"/>
        <v>7339</v>
      </c>
      <c r="B24" s="83" t="s">
        <v>151</v>
      </c>
      <c r="K24" s="18" t="s">
        <v>60</v>
      </c>
      <c r="L24" s="18" t="s">
        <v>129</v>
      </c>
      <c r="O24" s="45" cm="1">
        <f t="array" aca="1" ref="O24" ca="1">ROUND(IF($K24="Y",VLOOKUP($L24,INDIRECT($L$2),O$8,0)*INDIRECT($K$3),VLOOKUP($L24,INDIRECT($L$2),O$8,0)),IF(LEFT($C24,1)="N",3,0))</f>
        <v>7339</v>
      </c>
      <c r="S24" s="51" t="str">
        <f t="shared" si="7"/>
        <v>Y</v>
      </c>
      <c r="T24" s="51" t="str">
        <f t="shared" si="8"/>
        <v>15th Year</v>
      </c>
      <c r="U24" s="51"/>
      <c r="W24" s="72">
        <f t="shared" ca="1" si="9"/>
        <v>3.5289999999999999</v>
      </c>
    </row>
    <row r="25" spans="1:23">
      <c r="A25" s="11">
        <f t="shared" ca="1" si="6"/>
        <v>7603</v>
      </c>
      <c r="B25" s="83" t="s">
        <v>152</v>
      </c>
      <c r="K25" s="18" t="s">
        <v>60</v>
      </c>
      <c r="L25" s="18" t="s">
        <v>130</v>
      </c>
      <c r="O25" s="45" cm="1">
        <f t="array" aca="1" ref="O25" ca="1">ROUND(IF($K25="Y",VLOOKUP($L25,INDIRECT($L$2),O$8,0)*INDIRECT($K$3),VLOOKUP($L25,INDIRECT($L$2),O$8,0)),IF(LEFT($C25,1)="N",3,0))</f>
        <v>7603</v>
      </c>
      <c r="S25" s="51" t="str">
        <f t="shared" si="7"/>
        <v>Y</v>
      </c>
      <c r="T25" s="51" t="str">
        <f t="shared" si="8"/>
        <v>16th Year</v>
      </c>
      <c r="U25" s="51"/>
      <c r="W25" s="72">
        <f t="shared" ca="1" si="9"/>
        <v>3.6559999999999997</v>
      </c>
    </row>
    <row r="26" spans="1:23">
      <c r="A26" s="11">
        <f t="shared" ca="1" si="6"/>
        <v>7869</v>
      </c>
      <c r="B26" s="83" t="s">
        <v>153</v>
      </c>
      <c r="K26" s="18" t="s">
        <v>60</v>
      </c>
      <c r="L26" s="18" t="s">
        <v>131</v>
      </c>
      <c r="O26" s="45" cm="1">
        <f t="array" aca="1" ref="O26" ca="1">ROUND(IF($K26="Y",VLOOKUP($L26,INDIRECT($L$2),O$8,0)*INDIRECT($K$3),VLOOKUP($L26,INDIRECT($L$2),O$8,0)),IF(LEFT($C26,1)="N",3,0))</f>
        <v>7869</v>
      </c>
      <c r="S26" s="51" t="str">
        <f t="shared" si="7"/>
        <v>Y</v>
      </c>
      <c r="T26" s="51" t="str">
        <f t="shared" si="8"/>
        <v>17th Year</v>
      </c>
      <c r="U26" s="51"/>
      <c r="W26" s="72">
        <f t="shared" ca="1" si="9"/>
        <v>3.7839999999999998</v>
      </c>
    </row>
    <row r="27" spans="1:23">
      <c r="A27" s="11">
        <f t="shared" ca="1" si="6"/>
        <v>8133</v>
      </c>
      <c r="B27" s="83" t="s">
        <v>154</v>
      </c>
      <c r="K27" s="18" t="s">
        <v>60</v>
      </c>
      <c r="L27" s="18" t="s">
        <v>132</v>
      </c>
      <c r="O27" s="45" cm="1">
        <f t="array" aca="1" ref="O27" ca="1">ROUND(IF($K27="Y",VLOOKUP($L27,INDIRECT($L$2),O$8,0)*INDIRECT($K$3),VLOOKUP($L27,INDIRECT($L$2),O$8,0)),IF(LEFT($C27,1)="N",3,0))</f>
        <v>8133</v>
      </c>
      <c r="S27" s="51" t="str">
        <f t="shared" si="7"/>
        <v>Y</v>
      </c>
      <c r="T27" s="51" t="str">
        <f t="shared" si="8"/>
        <v>18th Year</v>
      </c>
      <c r="U27" s="51"/>
      <c r="W27" s="72">
        <f t="shared" ca="1" si="9"/>
        <v>3.911</v>
      </c>
    </row>
    <row r="28" spans="1:23">
      <c r="A28" s="11">
        <f t="shared" ca="1" si="6"/>
        <v>8398</v>
      </c>
      <c r="B28" s="83" t="s">
        <v>155</v>
      </c>
      <c r="K28" s="18" t="s">
        <v>60</v>
      </c>
      <c r="L28" s="18" t="s">
        <v>133</v>
      </c>
      <c r="O28" s="45" cm="1">
        <f t="array" aca="1" ref="O28" ca="1">ROUND(IF($K28="Y",VLOOKUP($L28,INDIRECT($L$2),O$8,0)*INDIRECT($K$3),VLOOKUP($L28,INDIRECT($L$2),O$8,0)),IF(LEFT($C28,1)="N",3,0))</f>
        <v>8398</v>
      </c>
      <c r="S28" s="51" t="str">
        <f t="shared" si="7"/>
        <v>Y</v>
      </c>
      <c r="T28" s="51" t="str">
        <f t="shared" si="8"/>
        <v>19th Year</v>
      </c>
      <c r="U28" s="51"/>
      <c r="W28" s="72">
        <f t="shared" ca="1" si="9"/>
        <v>4.0380000000000003</v>
      </c>
    </row>
    <row r="29" spans="1:23">
      <c r="A29" s="11">
        <f t="shared" ca="1" si="6"/>
        <v>10550</v>
      </c>
      <c r="B29" s="83" t="s">
        <v>156</v>
      </c>
      <c r="K29" s="18" t="s">
        <v>60</v>
      </c>
      <c r="L29" s="18" t="s">
        <v>134</v>
      </c>
      <c r="O29" s="45" cm="1">
        <f t="array" aca="1" ref="O29" ca="1">ROUND(IF($K29="Y",VLOOKUP($L29,INDIRECT($L$2),O$8,0)*INDIRECT($K$3),VLOOKUP($L29,INDIRECT($L$2),O$8,0)),IF(LEFT($C29,1)="N",3,0))</f>
        <v>10550</v>
      </c>
      <c r="S29" s="51" t="str">
        <f t="shared" si="7"/>
        <v>Y</v>
      </c>
      <c r="T29" s="51" t="str">
        <f t="shared" si="8"/>
        <v>20th Year</v>
      </c>
      <c r="U29" s="51"/>
      <c r="W29" s="72">
        <f t="shared" ca="1" si="9"/>
        <v>5.0730000000000004</v>
      </c>
    </row>
    <row r="30" spans="1:23">
      <c r="A30" s="11">
        <f t="shared" ca="1" si="6"/>
        <v>10815</v>
      </c>
      <c r="B30" s="83" t="s">
        <v>157</v>
      </c>
      <c r="K30" s="18" t="s">
        <v>60</v>
      </c>
      <c r="L30" s="18" t="s">
        <v>135</v>
      </c>
      <c r="O30" s="45" cm="1">
        <f t="array" aca="1" ref="O30" ca="1">ROUND(IF($K30="Y",VLOOKUP($L30,INDIRECT($L$2),O$8,0)*INDIRECT($K$3),VLOOKUP($L30,INDIRECT($L$2),O$8,0)),IF(LEFT($C30,1)="N",3,0))</f>
        <v>10815</v>
      </c>
      <c r="S30" s="51" t="str">
        <f t="shared" si="7"/>
        <v>Y</v>
      </c>
      <c r="T30" s="51" t="str">
        <f t="shared" si="8"/>
        <v>21st Year</v>
      </c>
      <c r="U30" s="51"/>
      <c r="W30" s="72">
        <f t="shared" ca="1" si="9"/>
        <v>5.2</v>
      </c>
    </row>
    <row r="31" spans="1:23">
      <c r="A31" s="11">
        <f t="shared" ca="1" si="6"/>
        <v>11079</v>
      </c>
      <c r="B31" s="83" t="s">
        <v>158</v>
      </c>
      <c r="K31" s="18" t="s">
        <v>60</v>
      </c>
      <c r="L31" s="18" t="s">
        <v>136</v>
      </c>
      <c r="O31" s="45" cm="1">
        <f t="array" aca="1" ref="O31" ca="1">ROUND(IF($K31="Y",VLOOKUP($L31,INDIRECT($L$2),O$8,0)*INDIRECT($K$3),VLOOKUP($L31,INDIRECT($L$2),O$8,0)),IF(LEFT($C31,1)="N",3,0))</f>
        <v>11079</v>
      </c>
      <c r="S31" s="51" t="str">
        <f t="shared" si="7"/>
        <v>Y</v>
      </c>
      <c r="T31" s="51" t="str">
        <f t="shared" si="8"/>
        <v>22nd Year</v>
      </c>
      <c r="U31" s="51"/>
      <c r="W31" s="72">
        <f t="shared" ca="1" si="9"/>
        <v>5.327</v>
      </c>
    </row>
    <row r="32" spans="1:23">
      <c r="A32" s="11">
        <f t="shared" ca="1" si="6"/>
        <v>11343</v>
      </c>
      <c r="B32" s="83" t="s">
        <v>159</v>
      </c>
      <c r="K32" s="18" t="s">
        <v>60</v>
      </c>
      <c r="L32" s="18" t="s">
        <v>137</v>
      </c>
      <c r="O32" s="45" cm="1">
        <f t="array" aca="1" ref="O32" ca="1">ROUND(IF($K32="Y",VLOOKUP($L32,INDIRECT($L$2),O$8,0)*INDIRECT($K$3),VLOOKUP($L32,INDIRECT($L$2),O$8,0)),IF(LEFT($C32,1)="N",3,0))</f>
        <v>11343</v>
      </c>
      <c r="S32" s="51" t="str">
        <f t="shared" si="7"/>
        <v>Y</v>
      </c>
      <c r="T32" s="51" t="str">
        <f t="shared" si="8"/>
        <v>23rd Year</v>
      </c>
      <c r="U32" s="51"/>
      <c r="W32" s="72">
        <f t="shared" ca="1" si="9"/>
        <v>5.4540000000000006</v>
      </c>
    </row>
    <row r="33" spans="1:23">
      <c r="A33" s="11">
        <f t="shared" ca="1" si="6"/>
        <v>11608</v>
      </c>
      <c r="B33" s="83" t="s">
        <v>160</v>
      </c>
      <c r="K33" s="18" t="s">
        <v>60</v>
      </c>
      <c r="L33" s="18" t="s">
        <v>138</v>
      </c>
      <c r="O33" s="45" cm="1">
        <f t="array" aca="1" ref="O33" ca="1">ROUND(IF($K33="Y",VLOOKUP($L33,INDIRECT($L$2),O$8,0)*INDIRECT($K$3),VLOOKUP($L33,INDIRECT($L$2),O$8,0)),IF(LEFT($C33,1)="N",3,0))</f>
        <v>11608</v>
      </c>
      <c r="S33" s="51" t="str">
        <f t="shared" si="7"/>
        <v>Y</v>
      </c>
      <c r="T33" s="51" t="str">
        <f t="shared" si="8"/>
        <v>24th Year</v>
      </c>
      <c r="U33" s="51"/>
      <c r="W33" s="72">
        <f t="shared" ca="1" si="9"/>
        <v>5.5810000000000004</v>
      </c>
    </row>
    <row r="34" spans="1:23">
      <c r="A34" s="11">
        <f t="shared" ca="1" si="6"/>
        <v>12682</v>
      </c>
      <c r="B34" s="83" t="s">
        <v>161</v>
      </c>
      <c r="K34" s="18" t="s">
        <v>60</v>
      </c>
      <c r="L34" s="18" t="s">
        <v>139</v>
      </c>
      <c r="O34" s="45" cm="1">
        <f t="array" aca="1" ref="O34" ca="1">ROUND(IF($K34="Y",VLOOKUP($L34,INDIRECT($L$2),O$8,0)*INDIRECT($K$3),VLOOKUP($L34,INDIRECT($L$2),O$8,0)),IF(LEFT($C34,1)="N",3,0))</f>
        <v>12682</v>
      </c>
      <c r="S34" s="51" t="str">
        <f t="shared" si="7"/>
        <v>Y</v>
      </c>
      <c r="T34" s="51" t="str">
        <f t="shared" si="8"/>
        <v>25th Year</v>
      </c>
      <c r="U34" s="51"/>
      <c r="W34" s="72">
        <f t="shared" ca="1" si="9"/>
        <v>6.0980000000000008</v>
      </c>
    </row>
    <row r="35" spans="1:23">
      <c r="A35" s="11">
        <f t="shared" ca="1" si="6"/>
        <v>12985</v>
      </c>
      <c r="B35" s="83" t="s">
        <v>162</v>
      </c>
      <c r="K35" s="18" t="s">
        <v>60</v>
      </c>
      <c r="L35" s="18" t="s">
        <v>140</v>
      </c>
      <c r="O35" s="45" cm="1">
        <f t="array" aca="1" ref="O35" ca="1">ROUND(IF($K35="Y",VLOOKUP($L35,INDIRECT($L$2),O$8,0)*INDIRECT($K$3),VLOOKUP($L35,INDIRECT($L$2),O$8,0)),IF(LEFT($C35,1)="N",3,0))</f>
        <v>12985</v>
      </c>
      <c r="S35" s="51" t="str">
        <f t="shared" si="7"/>
        <v>Y</v>
      </c>
      <c r="T35" s="51" t="str">
        <f t="shared" si="8"/>
        <v>26th Year</v>
      </c>
      <c r="U35" s="51"/>
      <c r="W35" s="72">
        <f t="shared" ca="1" si="9"/>
        <v>6.2430000000000003</v>
      </c>
    </row>
    <row r="37" spans="1:23">
      <c r="A37" s="86" t="s">
        <v>167</v>
      </c>
    </row>
    <row r="38" spans="1:23">
      <c r="A38" s="83" t="s">
        <v>164</v>
      </c>
    </row>
    <row r="39" spans="1:23">
      <c r="A39" s="94" t="s">
        <v>166</v>
      </c>
    </row>
    <row r="40" spans="1:23">
      <c r="A40" s="55" t="s">
        <v>165</v>
      </c>
    </row>
    <row r="42" spans="1:23">
      <c r="A42" s="86" t="s">
        <v>175</v>
      </c>
      <c r="K42" s="18" t="s">
        <v>63</v>
      </c>
      <c r="L42" s="116" t="s">
        <v>179</v>
      </c>
      <c r="O42" s="45" cm="1">
        <f t="array" aca="1" ref="O42" ca="1">ROUND(IF($K42="Y",VLOOKUP($L42,INDIRECT($L$2),O$8,0)*INDIRECT($K$3),VLOOKUP($L42,INDIRECT($L$2),O$8,0)),IF(LEFT($C42,1)="N",3,0))</f>
        <v>750</v>
      </c>
      <c r="S42" s="51" t="str">
        <f t="shared" ref="S42" si="10">K42</f>
        <v>N</v>
      </c>
      <c r="T42" s="54" t="str">
        <f t="shared" ref="T42" si="11">L42</f>
        <v>Clothing/Equipment Allowance - Current Emps</v>
      </c>
      <c r="W42" s="120">
        <f ca="1">O42</f>
        <v>750</v>
      </c>
    </row>
    <row r="43" spans="1:23">
      <c r="A43" s="85" t="str">
        <f>"Current employees are eligible for an allowance of "&amp;TEXT(750,"$###")&amp;" per year. The allowance will be paid on the first payroll date on or about June 1"</f>
        <v>Current employees are eligible for an allowance of $750 per year. The allowance will be paid on the first payroll date on or about June 1</v>
      </c>
    </row>
    <row r="44" spans="1:23">
      <c r="A44" s="85" t="s">
        <v>176</v>
      </c>
      <c r="K44" s="18" t="s">
        <v>63</v>
      </c>
      <c r="L44" s="116" t="s">
        <v>180</v>
      </c>
      <c r="O44" s="45" cm="1">
        <f t="array" aca="1" ref="O44" ca="1">ROUND(IF($K44="Y",VLOOKUP($L44,INDIRECT($L$2),O$8,0)*INDIRECT($K$3),VLOOKUP($L44,INDIRECT($L$2),O$8,0)),IF(LEFT($C44,1)="N",3,0))</f>
        <v>1500</v>
      </c>
      <c r="S44" s="51" t="str">
        <f t="shared" ref="S44" si="12">K44</f>
        <v>N</v>
      </c>
      <c r="T44" s="54" t="str">
        <f t="shared" ref="T44" si="13">L44</f>
        <v>Clothing/Equipment Allowance - New Emps</v>
      </c>
      <c r="W44" s="120">
        <f ca="1">O44</f>
        <v>1500</v>
      </c>
    </row>
    <row r="45" spans="1:23">
      <c r="A45" s="85" t="s">
        <v>177</v>
      </c>
    </row>
    <row r="46" spans="1:23">
      <c r="A46" s="85" t="s">
        <v>178</v>
      </c>
    </row>
  </sheetData>
  <sheetProtection sheet="1" objects="1" scenarios="1"/>
  <mergeCells count="3">
    <mergeCell ref="A1:D1"/>
    <mergeCell ref="A2:I2"/>
    <mergeCell ref="B8:F8"/>
  </mergeCells>
  <conditionalFormatting sqref="G10:I11">
    <cfRule type="cellIs" dxfId="8" priority="5" operator="equal">
      <formula>0</formula>
    </cfRule>
    <cfRule type="cellIs" dxfId="7" priority="6" operator="greaterThanOrEqual">
      <formula>100</formula>
    </cfRule>
    <cfRule type="cellIs" dxfId="6" priority="7" operator="lessThan">
      <formula>100</formula>
    </cfRule>
  </conditionalFormatting>
  <conditionalFormatting sqref="O42">
    <cfRule type="cellIs" dxfId="5" priority="3" operator="lessThan">
      <formula>100</formula>
    </cfRule>
    <cfRule type="cellIs" dxfId="4" priority="4" operator="greaterThanOrEqual">
      <formula>100</formula>
    </cfRule>
  </conditionalFormatting>
  <conditionalFormatting sqref="O44">
    <cfRule type="cellIs" dxfId="3" priority="1" operator="lessThan">
      <formula>100</formula>
    </cfRule>
    <cfRule type="cellIs" dxfId="2" priority="2" operator="greaterThanOrEqual">
      <formula>100</formula>
    </cfRule>
  </conditionalFormatting>
  <conditionalFormatting sqref="O10:Q19 P20:Q20 O20:O35">
    <cfRule type="cellIs" dxfId="1" priority="8" operator="lessThan">
      <formula>100</formula>
    </cfRule>
    <cfRule type="cellIs" dxfId="0" priority="9" operator="greaterThanOrEqual">
      <formula>100</formula>
    </cfRule>
  </conditionalFormatting>
  <pageMargins left="0.25" right="0.25" top="0.75" bottom="0.7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DA6AD-E660-4151-9467-1730CC1670CA}">
  <dimension ref="A1:B12"/>
  <sheetViews>
    <sheetView workbookViewId="0"/>
  </sheetViews>
  <sheetFormatPr defaultColWidth="9.109375" defaultRowHeight="13.2"/>
  <cols>
    <col min="1" max="16384" width="9.109375" style="70"/>
  </cols>
  <sheetData>
    <row r="1" spans="1:2">
      <c r="A1" s="70">
        <v>1</v>
      </c>
      <c r="B1" s="70" t="s">
        <v>100</v>
      </c>
    </row>
    <row r="2" spans="1:2">
      <c r="A2" s="70">
        <f>A1+1</f>
        <v>2</v>
      </c>
      <c r="B2" s="70" t="s">
        <v>101</v>
      </c>
    </row>
    <row r="3" spans="1:2">
      <c r="A3" s="70">
        <f t="shared" ref="A3:A12" si="0">A2+1</f>
        <v>3</v>
      </c>
      <c r="B3" s="70" t="s">
        <v>102</v>
      </c>
    </row>
    <row r="4" spans="1:2">
      <c r="A4" s="70">
        <f t="shared" si="0"/>
        <v>4</v>
      </c>
      <c r="B4" s="70" t="s">
        <v>103</v>
      </c>
    </row>
    <row r="5" spans="1:2">
      <c r="A5" s="70">
        <f t="shared" si="0"/>
        <v>5</v>
      </c>
      <c r="B5" s="70" t="s">
        <v>104</v>
      </c>
    </row>
    <row r="6" spans="1:2">
      <c r="A6" s="70">
        <f t="shared" si="0"/>
        <v>6</v>
      </c>
      <c r="B6" s="70" t="s">
        <v>105</v>
      </c>
    </row>
    <row r="7" spans="1:2">
      <c r="A7" s="70">
        <f t="shared" si="0"/>
        <v>7</v>
      </c>
      <c r="B7" s="70" t="s">
        <v>106</v>
      </c>
    </row>
    <row r="8" spans="1:2">
      <c r="A8" s="70">
        <f t="shared" si="0"/>
        <v>8</v>
      </c>
      <c r="B8" s="70" t="s">
        <v>107</v>
      </c>
    </row>
    <row r="9" spans="1:2">
      <c r="A9" s="70">
        <f t="shared" si="0"/>
        <v>9</v>
      </c>
      <c r="B9" s="70" t="s">
        <v>108</v>
      </c>
    </row>
    <row r="10" spans="1:2">
      <c r="A10" s="70">
        <f t="shared" si="0"/>
        <v>10</v>
      </c>
      <c r="B10" s="70" t="s">
        <v>109</v>
      </c>
    </row>
    <row r="11" spans="1:2">
      <c r="A11" s="70">
        <f t="shared" si="0"/>
        <v>11</v>
      </c>
      <c r="B11" s="70" t="s">
        <v>110</v>
      </c>
    </row>
    <row r="12" spans="1:2">
      <c r="A12" s="70">
        <f t="shared" si="0"/>
        <v>12</v>
      </c>
      <c r="B12" s="70" t="s">
        <v>111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2A255-51C2-4F22-A44C-756F182A3E3C}">
  <sheetPr codeName="Sheet16"/>
  <dimension ref="A1:J67"/>
  <sheetViews>
    <sheetView topLeftCell="A50" workbookViewId="0">
      <selection activeCell="A68" sqref="A68"/>
    </sheetView>
  </sheetViews>
  <sheetFormatPr defaultRowHeight="13.2"/>
  <cols>
    <col min="1" max="1" width="10.33203125" bestFit="1" customWidth="1"/>
    <col min="2" max="2" width="29.6640625" bestFit="1" customWidth="1"/>
    <col min="3" max="3" width="100.5546875" bestFit="1" customWidth="1"/>
    <col min="4" max="4" width="23.5546875" bestFit="1" customWidth="1"/>
  </cols>
  <sheetData>
    <row r="1" spans="1:4">
      <c r="A1" t="s">
        <v>39</v>
      </c>
      <c r="B1" t="s">
        <v>40</v>
      </c>
      <c r="C1" t="s">
        <v>41</v>
      </c>
      <c r="D1" t="s">
        <v>42</v>
      </c>
    </row>
    <row r="2" spans="1:4" ht="250.8">
      <c r="A2" s="2">
        <v>42917</v>
      </c>
      <c r="B2" t="s">
        <v>12</v>
      </c>
      <c r="C2" s="5" t="s">
        <v>18</v>
      </c>
    </row>
    <row r="3" spans="1:4" ht="158.4">
      <c r="A3" s="2">
        <v>43101</v>
      </c>
      <c r="B3" t="s">
        <v>17</v>
      </c>
      <c r="C3" s="5" t="s">
        <v>16</v>
      </c>
    </row>
    <row r="4" spans="1:4" ht="184.8">
      <c r="A4" s="2">
        <v>43282</v>
      </c>
      <c r="B4" t="s">
        <v>12</v>
      </c>
      <c r="C4" s="5" t="s">
        <v>15</v>
      </c>
    </row>
    <row r="5" spans="1:4" ht="79.2">
      <c r="A5" s="2">
        <v>43464</v>
      </c>
      <c r="B5" t="s">
        <v>12</v>
      </c>
      <c r="C5" s="5" t="s">
        <v>14</v>
      </c>
    </row>
    <row r="6" spans="1:4" ht="171.6">
      <c r="A6" s="2">
        <v>43466</v>
      </c>
      <c r="B6" t="s">
        <v>12</v>
      </c>
      <c r="C6" s="5" t="s">
        <v>13</v>
      </c>
    </row>
    <row r="7" spans="1:4" ht="198">
      <c r="A7" s="2">
        <v>43647</v>
      </c>
      <c r="B7" t="s">
        <v>12</v>
      </c>
      <c r="C7" s="5" t="s">
        <v>11</v>
      </c>
    </row>
    <row r="8" spans="1:4">
      <c r="A8" s="2">
        <v>43738</v>
      </c>
      <c r="B8" t="s">
        <v>7</v>
      </c>
      <c r="C8" t="s">
        <v>8</v>
      </c>
    </row>
    <row r="9" spans="1:4">
      <c r="A9" s="2">
        <v>43738</v>
      </c>
      <c r="B9" t="s">
        <v>7</v>
      </c>
      <c r="C9" t="s">
        <v>9</v>
      </c>
    </row>
    <row r="10" spans="1:4">
      <c r="A10" s="2">
        <v>43781</v>
      </c>
      <c r="B10" t="s">
        <v>7</v>
      </c>
      <c r="C10" t="s">
        <v>19</v>
      </c>
    </row>
    <row r="11" spans="1:4">
      <c r="A11" s="2">
        <v>43791</v>
      </c>
      <c r="B11" t="s">
        <v>7</v>
      </c>
      <c r="C11" t="s">
        <v>21</v>
      </c>
    </row>
    <row r="12" spans="1:4">
      <c r="A12" s="2">
        <v>43791</v>
      </c>
      <c r="B12" t="s">
        <v>7</v>
      </c>
      <c r="C12" t="s">
        <v>20</v>
      </c>
    </row>
    <row r="13" spans="1:4">
      <c r="A13" s="2">
        <v>43804</v>
      </c>
      <c r="B13" t="s">
        <v>7</v>
      </c>
      <c r="C13" t="s">
        <v>22</v>
      </c>
    </row>
    <row r="14" spans="1:4">
      <c r="A14" s="2">
        <v>43804</v>
      </c>
      <c r="B14" t="s">
        <v>7</v>
      </c>
      <c r="C14" t="s">
        <v>23</v>
      </c>
    </row>
    <row r="15" spans="1:4">
      <c r="A15" s="2">
        <v>43804</v>
      </c>
      <c r="B15" t="s">
        <v>7</v>
      </c>
      <c r="C15" t="s">
        <v>24</v>
      </c>
    </row>
    <row r="16" spans="1:4">
      <c r="A16" s="2">
        <v>40522</v>
      </c>
      <c r="B16" t="s">
        <v>7</v>
      </c>
      <c r="C16" t="s">
        <v>25</v>
      </c>
    </row>
    <row r="17" spans="1:10">
      <c r="A17" s="2">
        <v>43838</v>
      </c>
      <c r="B17" t="s">
        <v>7</v>
      </c>
      <c r="C17" t="s">
        <v>26</v>
      </c>
    </row>
    <row r="18" spans="1:10">
      <c r="A18" s="2">
        <v>43900</v>
      </c>
      <c r="B18" t="s">
        <v>7</v>
      </c>
      <c r="C18" t="s">
        <v>27</v>
      </c>
    </row>
    <row r="19" spans="1:10">
      <c r="A19" s="128">
        <v>43930</v>
      </c>
      <c r="B19" s="127" t="s">
        <v>7</v>
      </c>
      <c r="C19" s="126" t="s">
        <v>28</v>
      </c>
      <c r="E19" t="s">
        <v>29</v>
      </c>
      <c r="F19" s="6">
        <v>24.860000000000003</v>
      </c>
      <c r="G19" s="6">
        <v>26.103000000000002</v>
      </c>
      <c r="H19" s="6">
        <v>27.408000000000001</v>
      </c>
      <c r="I19" s="6">
        <v>28.778000000000002</v>
      </c>
      <c r="J19" s="6">
        <v>30.217000000000002</v>
      </c>
    </row>
    <row r="20" spans="1:10">
      <c r="A20" s="128"/>
      <c r="B20" s="127"/>
      <c r="C20" s="126"/>
      <c r="E20" t="s">
        <v>30</v>
      </c>
      <c r="F20" s="6">
        <v>24.288396923310835</v>
      </c>
      <c r="G20" s="6">
        <v>25.502816769476379</v>
      </c>
      <c r="H20" s="6">
        <v>26.777957607950199</v>
      </c>
      <c r="I20" s="6">
        <v>28.11685548834771</v>
      </c>
      <c r="J20" s="6">
        <v>29.522698262765097</v>
      </c>
    </row>
    <row r="21" spans="1:10">
      <c r="A21" s="2">
        <v>44018</v>
      </c>
      <c r="B21" t="s">
        <v>7</v>
      </c>
      <c r="C21" t="s">
        <v>31</v>
      </c>
    </row>
    <row r="22" spans="1:10">
      <c r="A22" s="2">
        <v>44036</v>
      </c>
      <c r="B22" t="s">
        <v>7</v>
      </c>
      <c r="C22" t="s">
        <v>32</v>
      </c>
    </row>
    <row r="23" spans="1:10">
      <c r="A23" s="2">
        <v>44036</v>
      </c>
      <c r="B23" t="s">
        <v>7</v>
      </c>
      <c r="C23" t="s">
        <v>33</v>
      </c>
    </row>
    <row r="24" spans="1:10">
      <c r="A24" s="2">
        <v>44322</v>
      </c>
      <c r="B24" t="s">
        <v>7</v>
      </c>
      <c r="C24" t="s">
        <v>34</v>
      </c>
    </row>
    <row r="25" spans="1:10">
      <c r="A25" s="2">
        <v>44328</v>
      </c>
      <c r="B25" t="s">
        <v>7</v>
      </c>
      <c r="C25" t="s">
        <v>35</v>
      </c>
    </row>
    <row r="26" spans="1:10">
      <c r="A26" s="2">
        <v>44421</v>
      </c>
      <c r="B26" t="s">
        <v>7</v>
      </c>
      <c r="C26" t="s">
        <v>36</v>
      </c>
    </row>
    <row r="27" spans="1:10">
      <c r="A27" s="2">
        <v>44432</v>
      </c>
      <c r="B27" t="s">
        <v>7</v>
      </c>
      <c r="C27" t="s">
        <v>37</v>
      </c>
      <c r="D27" s="2">
        <v>44432</v>
      </c>
    </row>
    <row r="28" spans="1:10">
      <c r="A28" s="2">
        <v>44473</v>
      </c>
      <c r="B28" t="s">
        <v>7</v>
      </c>
      <c r="C28" t="s">
        <v>38</v>
      </c>
      <c r="D28" s="2">
        <v>44483</v>
      </c>
    </row>
    <row r="29" spans="1:10">
      <c r="A29" s="2">
        <v>44487</v>
      </c>
      <c r="B29" t="s">
        <v>7</v>
      </c>
      <c r="C29" t="s">
        <v>43</v>
      </c>
      <c r="D29" s="2">
        <v>44201</v>
      </c>
    </row>
    <row r="30" spans="1:10">
      <c r="A30" s="2">
        <v>44518</v>
      </c>
      <c r="B30" t="s">
        <v>7</v>
      </c>
      <c r="C30" t="s">
        <v>44</v>
      </c>
      <c r="D30" s="2">
        <v>44201</v>
      </c>
    </row>
    <row r="31" spans="1:10">
      <c r="A31" s="2">
        <v>44518</v>
      </c>
      <c r="B31" t="s">
        <v>7</v>
      </c>
      <c r="C31" t="s">
        <v>45</v>
      </c>
      <c r="D31" s="2">
        <v>44201</v>
      </c>
    </row>
    <row r="32" spans="1:10">
      <c r="A32" s="2">
        <v>44518</v>
      </c>
      <c r="B32" t="s">
        <v>7</v>
      </c>
      <c r="C32" t="s">
        <v>46</v>
      </c>
      <c r="D32" s="2">
        <v>44201</v>
      </c>
    </row>
    <row r="33" spans="1:4">
      <c r="A33" s="2">
        <v>44518</v>
      </c>
      <c r="B33" t="s">
        <v>7</v>
      </c>
      <c r="C33" t="s">
        <v>47</v>
      </c>
      <c r="D33" s="2">
        <v>44201</v>
      </c>
    </row>
    <row r="34" spans="1:4">
      <c r="A34" s="2">
        <v>44522</v>
      </c>
      <c r="B34" t="s">
        <v>7</v>
      </c>
      <c r="C34" t="s">
        <v>48</v>
      </c>
      <c r="D34" s="2">
        <v>44201</v>
      </c>
    </row>
    <row r="35" spans="1:4">
      <c r="A35" s="2">
        <v>44522</v>
      </c>
      <c r="B35" t="s">
        <v>7</v>
      </c>
      <c r="C35" t="s">
        <v>49</v>
      </c>
      <c r="D35" s="2">
        <v>44201</v>
      </c>
    </row>
    <row r="36" spans="1:4">
      <c r="A36" s="2">
        <v>44585</v>
      </c>
      <c r="B36" t="s">
        <v>7</v>
      </c>
      <c r="C36" t="s">
        <v>50</v>
      </c>
      <c r="D36" s="2">
        <v>44585</v>
      </c>
    </row>
    <row r="37" spans="1:4">
      <c r="A37" s="2">
        <v>44621</v>
      </c>
      <c r="B37" t="s">
        <v>7</v>
      </c>
      <c r="C37" t="s">
        <v>51</v>
      </c>
      <c r="D37" s="2">
        <v>44621</v>
      </c>
    </row>
    <row r="38" spans="1:4">
      <c r="A38" s="2">
        <v>44621</v>
      </c>
      <c r="B38" t="s">
        <v>7</v>
      </c>
      <c r="C38" t="s">
        <v>52</v>
      </c>
      <c r="D38" s="2">
        <v>44621</v>
      </c>
    </row>
    <row r="39" spans="1:4">
      <c r="A39" s="2">
        <v>44621</v>
      </c>
      <c r="B39" t="s">
        <v>7</v>
      </c>
      <c r="C39" t="s">
        <v>53</v>
      </c>
      <c r="D39" s="2">
        <v>44621</v>
      </c>
    </row>
    <row r="40" spans="1:4">
      <c r="A40" s="2">
        <v>44678</v>
      </c>
      <c r="B40" t="s">
        <v>7</v>
      </c>
      <c r="C40" t="s">
        <v>54</v>
      </c>
      <c r="D40" s="2">
        <v>44802</v>
      </c>
    </row>
    <row r="41" spans="1:4">
      <c r="A41" s="2">
        <v>44728</v>
      </c>
      <c r="B41" t="s">
        <v>7</v>
      </c>
      <c r="C41" t="s">
        <v>55</v>
      </c>
      <c r="D41" s="2">
        <v>44802</v>
      </c>
    </row>
    <row r="42" spans="1:4">
      <c r="A42" s="2">
        <v>44729</v>
      </c>
      <c r="B42" t="s">
        <v>7</v>
      </c>
      <c r="C42" t="s">
        <v>57</v>
      </c>
      <c r="D42" s="2">
        <v>44802</v>
      </c>
    </row>
    <row r="43" spans="1:4">
      <c r="A43" s="2">
        <v>44735</v>
      </c>
      <c r="B43" t="s">
        <v>7</v>
      </c>
      <c r="C43" t="s">
        <v>56</v>
      </c>
      <c r="D43" s="2">
        <v>44802</v>
      </c>
    </row>
    <row r="44" spans="1:4">
      <c r="A44" s="2">
        <v>44736</v>
      </c>
      <c r="B44" t="s">
        <v>7</v>
      </c>
      <c r="C44" t="s">
        <v>58</v>
      </c>
      <c r="D44" s="2">
        <v>44802</v>
      </c>
    </row>
    <row r="45" spans="1:4">
      <c r="A45" s="2">
        <v>44753</v>
      </c>
      <c r="B45" t="s">
        <v>7</v>
      </c>
      <c r="C45" t="s">
        <v>64</v>
      </c>
      <c r="D45" s="2">
        <v>44802</v>
      </c>
    </row>
    <row r="46" spans="1:4">
      <c r="A46" s="23">
        <v>44756</v>
      </c>
      <c r="B46" s="24" t="s">
        <v>7</v>
      </c>
      <c r="C46" s="25" t="s">
        <v>66</v>
      </c>
      <c r="D46" s="23">
        <v>44802</v>
      </c>
    </row>
    <row r="47" spans="1:4">
      <c r="A47" s="23">
        <v>44756</v>
      </c>
      <c r="B47" s="24" t="s">
        <v>7</v>
      </c>
      <c r="C47" s="25" t="s">
        <v>65</v>
      </c>
      <c r="D47" s="23">
        <v>44802</v>
      </c>
    </row>
    <row r="48" spans="1:4">
      <c r="A48" s="2">
        <v>44925</v>
      </c>
      <c r="B48" t="s">
        <v>7</v>
      </c>
      <c r="C48" s="5" t="s">
        <v>69</v>
      </c>
    </row>
    <row r="49" spans="1:3">
      <c r="A49" s="2">
        <v>45016</v>
      </c>
      <c r="B49" t="s">
        <v>7</v>
      </c>
      <c r="C49" t="s">
        <v>67</v>
      </c>
    </row>
    <row r="50" spans="1:3">
      <c r="A50" s="2">
        <v>45016</v>
      </c>
      <c r="B50" t="s">
        <v>7</v>
      </c>
      <c r="C50" s="5" t="s">
        <v>68</v>
      </c>
    </row>
    <row r="51" spans="1:3">
      <c r="A51" s="2">
        <v>45082</v>
      </c>
      <c r="B51" t="s">
        <v>70</v>
      </c>
      <c r="C51" t="s">
        <v>71</v>
      </c>
    </row>
    <row r="52" spans="1:3">
      <c r="A52" s="2">
        <v>45103</v>
      </c>
      <c r="B52" t="s">
        <v>70</v>
      </c>
      <c r="C52" t="s">
        <v>72</v>
      </c>
    </row>
    <row r="53" spans="1:3">
      <c r="A53" s="2">
        <v>45119</v>
      </c>
      <c r="B53" t="s">
        <v>70</v>
      </c>
      <c r="C53" t="s">
        <v>73</v>
      </c>
    </row>
    <row r="54" spans="1:3">
      <c r="A54" s="2">
        <v>45149</v>
      </c>
      <c r="B54" t="s">
        <v>7</v>
      </c>
      <c r="C54" t="s">
        <v>74</v>
      </c>
    </row>
    <row r="55" spans="1:3">
      <c r="A55" s="2">
        <v>45190</v>
      </c>
      <c r="B55" t="s">
        <v>70</v>
      </c>
      <c r="C55" t="s">
        <v>75</v>
      </c>
    </row>
    <row r="56" spans="1:3">
      <c r="A56" s="2">
        <v>45288</v>
      </c>
      <c r="B56" t="s">
        <v>76</v>
      </c>
      <c r="C56" t="s">
        <v>77</v>
      </c>
    </row>
    <row r="57" spans="1:3">
      <c r="A57" s="2">
        <v>45295</v>
      </c>
      <c r="B57" t="s">
        <v>76</v>
      </c>
      <c r="C57" t="s">
        <v>78</v>
      </c>
    </row>
    <row r="58" spans="1:3">
      <c r="A58" s="2">
        <v>45299</v>
      </c>
      <c r="B58" t="s">
        <v>7</v>
      </c>
      <c r="C58" t="s">
        <v>79</v>
      </c>
    </row>
    <row r="59" spans="1:3">
      <c r="A59" s="2">
        <v>45314</v>
      </c>
      <c r="B59" t="s">
        <v>76</v>
      </c>
      <c r="C59" t="s">
        <v>80</v>
      </c>
    </row>
    <row r="60" spans="1:3">
      <c r="A60" s="2">
        <v>45330</v>
      </c>
      <c r="B60" t="s">
        <v>76</v>
      </c>
      <c r="C60" t="s">
        <v>81</v>
      </c>
    </row>
    <row r="61" spans="1:3">
      <c r="A61" s="2">
        <v>45482</v>
      </c>
      <c r="B61" t="s">
        <v>76</v>
      </c>
      <c r="C61" t="s">
        <v>82</v>
      </c>
    </row>
    <row r="62" spans="1:3">
      <c r="A62" s="2">
        <v>45569</v>
      </c>
      <c r="B62" t="s">
        <v>7</v>
      </c>
      <c r="C62" t="s">
        <v>83</v>
      </c>
    </row>
    <row r="63" spans="1:3">
      <c r="A63" s="2">
        <v>45603</v>
      </c>
      <c r="B63" t="s">
        <v>70</v>
      </c>
      <c r="C63" t="s">
        <v>84</v>
      </c>
    </row>
    <row r="64" spans="1:3">
      <c r="A64" s="2">
        <v>45665</v>
      </c>
      <c r="B64" t="s">
        <v>76</v>
      </c>
      <c r="C64" t="s">
        <v>86</v>
      </c>
    </row>
    <row r="65" spans="1:3">
      <c r="A65" s="2">
        <v>45691</v>
      </c>
      <c r="B65" t="s">
        <v>7</v>
      </c>
      <c r="C65" t="s">
        <v>87</v>
      </c>
    </row>
    <row r="66" spans="1:3">
      <c r="A66" s="2">
        <v>45691</v>
      </c>
      <c r="B66" t="s">
        <v>7</v>
      </c>
      <c r="C66" t="s">
        <v>88</v>
      </c>
    </row>
    <row r="67" spans="1:3">
      <c r="A67" s="2">
        <v>45730</v>
      </c>
      <c r="B67" t="s">
        <v>70</v>
      </c>
      <c r="C67" t="s">
        <v>89</v>
      </c>
    </row>
  </sheetData>
  <mergeCells count="3">
    <mergeCell ref="C19:C20"/>
    <mergeCell ref="B19:B20"/>
    <mergeCell ref="A19:A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1-1-2024</vt:lpstr>
      <vt:lpstr>1-1-2025</vt:lpstr>
      <vt:lpstr>1-1-2026</vt:lpstr>
      <vt:lpstr>Months</vt:lpstr>
      <vt:lpstr>Notes</vt:lpstr>
      <vt:lpstr>DataJan2024</vt:lpstr>
      <vt:lpstr>DataJan2025</vt:lpstr>
      <vt:lpstr>DataJan2026</vt:lpstr>
      <vt:lpstr>IncrPercJan2025</vt:lpstr>
      <vt:lpstr>IncrPercJan2026</vt:lpstr>
      <vt:lpstr>Long2025</vt:lpstr>
      <vt:lpstr>Long2026</vt:lpstr>
      <vt:lpstr>Months</vt:lpstr>
    </vt:vector>
  </TitlesOfParts>
  <Company>City of Minneapolis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Nelms, Pam K.</dc:creator>
  <cp:lastModifiedBy>Stupeck, Marie (she/her/hers)</cp:lastModifiedBy>
  <cp:lastPrinted>2024-12-18T17:11:08Z</cp:lastPrinted>
  <dcterms:created xsi:type="dcterms:W3CDTF">2017-06-19T19:31:02Z</dcterms:created>
  <dcterms:modified xsi:type="dcterms:W3CDTF">2025-07-10T21:30:15Z</dcterms:modified>
</cp:coreProperties>
</file>