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1ia.ci.minneapolis.mn.us\Common\Human Resources\LABOR\1 (CEL) 292 ELEC\Salary Schedules\"/>
    </mc:Choice>
  </mc:AlternateContent>
  <xr:revisionPtr revIDLastSave="0" documentId="13_ncr:1_{A452C711-B0B9-4F4D-A415-318AFFC1CB9A}" xr6:coauthVersionLast="47" xr6:coauthVersionMax="47" xr10:uidLastSave="{00000000-0000-0000-0000-000000000000}"/>
  <bookViews>
    <workbookView xWindow="-110" yWindow="-110" windowWidth="19420" windowHeight="10420" firstSheet="14" activeTab="14" xr2:uid="{00000000-000D-0000-FFFF-FFFF00000000}"/>
  </bookViews>
  <sheets>
    <sheet name="Benefits Calc" sheetId="18" state="hidden" r:id="rId1"/>
    <sheet name="May 1, 2017" sheetId="7" state="hidden" r:id="rId2"/>
    <sheet name="May 1, 2018" sheetId="11" state="hidden" r:id="rId3"/>
    <sheet name="March 3, 2019" sheetId="12" state="hidden" r:id="rId4"/>
    <sheet name="May 1, 2019" sheetId="13" state="hidden" r:id="rId5"/>
    <sheet name="November 1, 2019" sheetId="16" state="hidden" r:id="rId6"/>
    <sheet name="April 30, 2020" sheetId="14" state="hidden" r:id="rId7"/>
    <sheet name="May 1, 2020" sheetId="19" r:id="rId8"/>
    <sheet name="May 1, 2021" sheetId="21" r:id="rId9"/>
    <sheet name="May 1, 2022" sheetId="23" r:id="rId10"/>
    <sheet name="January 1, 2023" sheetId="24" r:id="rId11"/>
    <sheet name="September 1, 2023" sheetId="25" r:id="rId12"/>
    <sheet name="January 1, 2024" sheetId="26" r:id="rId13"/>
    <sheet name="September 1, 2024" sheetId="27" state="hidden" r:id="rId14"/>
    <sheet name="1-1-2025" sheetId="28" r:id="rId15"/>
    <sheet name="4-30-2025" sheetId="29" r:id="rId16"/>
    <sheet name="1-1-2026" sheetId="31" r:id="rId17"/>
    <sheet name="1-1-2027" sheetId="34" r:id="rId18"/>
    <sheet name="Months" sheetId="30" state="hidden" r:id="rId19"/>
    <sheet name="Sheet2" sheetId="17" state="hidden" r:id="rId20"/>
    <sheet name="March 3, 2019 - old" sheetId="6" state="hidden" r:id="rId21"/>
    <sheet name="Notes" sheetId="8" state="hidden" r:id="rId22"/>
  </sheets>
  <externalReferences>
    <externalReference r:id="rId23"/>
  </externalReferences>
  <definedNames>
    <definedName name="_Key1" localSheetId="14" hidden="1">[1]CEL2004!#REF!</definedName>
    <definedName name="_Key1" localSheetId="16" hidden="1">[1]CEL2004!#REF!</definedName>
    <definedName name="_Key1" localSheetId="17" hidden="1">[1]CEL2004!#REF!</definedName>
    <definedName name="_Key1" localSheetId="15" hidden="1">[1]CEL2004!#REF!</definedName>
    <definedName name="_Key1" localSheetId="6" hidden="1">[1]CEL2004!#REF!</definedName>
    <definedName name="_Key1" localSheetId="10" hidden="1">[1]CEL2004!#REF!</definedName>
    <definedName name="_Key1" localSheetId="12" hidden="1">[1]CEL2004!#REF!</definedName>
    <definedName name="_Key1" localSheetId="3" hidden="1">[1]CEL2004!#REF!</definedName>
    <definedName name="_Key1" localSheetId="20" hidden="1">[1]CEL2004!#REF!</definedName>
    <definedName name="_Key1" localSheetId="1" hidden="1">[1]CEL2004!#REF!</definedName>
    <definedName name="_Key1" localSheetId="2" hidden="1">[1]CEL2004!#REF!</definedName>
    <definedName name="_Key1" localSheetId="4" hidden="1">[1]CEL2004!#REF!</definedName>
    <definedName name="_Key1" localSheetId="7" hidden="1">[1]CEL2004!#REF!</definedName>
    <definedName name="_Key1" localSheetId="8" hidden="1">[1]CEL2004!#REF!</definedName>
    <definedName name="_Key1" localSheetId="9" hidden="1">[1]CEL2004!#REF!</definedName>
    <definedName name="_Key1" localSheetId="5" hidden="1">[1]CEL2004!#REF!</definedName>
    <definedName name="_Key1" localSheetId="11" hidden="1">[1]CEL2004!#REF!</definedName>
    <definedName name="_Key1" localSheetId="13" hidden="1">[1]CEL2004!#REF!</definedName>
    <definedName name="_Key1" hidden="1">[1]CEL2004!#REF!</definedName>
    <definedName name="_Order1" hidden="1">255</definedName>
    <definedName name="AddtlShoeAllowance" localSheetId="16">'1-1-2026'!$K$4</definedName>
    <definedName name="AddtlShoeAllowance" localSheetId="17">'1-1-2027'!$K$4</definedName>
    <definedName name="AddtlShoeAllowance" localSheetId="15">'4-30-2025'!$K$4</definedName>
    <definedName name="AddtlShoeAllowance">'1-1-2025'!$K$4</definedName>
    <definedName name="Data2025">'4-30-2025'!$J$8:$O$31</definedName>
    <definedName name="DataApr2025">'4-30-2025'!$J$8:$O$31</definedName>
    <definedName name="DataApril2020">"RatesMay2020"</definedName>
    <definedName name="DataJan2025">'1-1-2025'!$J$8:$O$33</definedName>
    <definedName name="DataJan2026">'1-1-2026'!$J$9:$O$33</definedName>
    <definedName name="DataSep2024">'September 1, 2024'!$N$7:$S$38</definedName>
    <definedName name="IncrPerc2018">'May 1, 2018'!$O$2</definedName>
    <definedName name="IncrPerc2018v2">'May 1, 2018'!$O$3</definedName>
    <definedName name="IncrPerc2020">'May 1, 2020'!$O$2</definedName>
    <definedName name="IncrPerc2021">'May 1, 2021'!$O$2</definedName>
    <definedName name="IncrPerc2022">'May 1, 2022'!$O$2</definedName>
    <definedName name="IncrPercApr2025">'4-30-2025'!$K$3</definedName>
    <definedName name="IncrPercApril2020" localSheetId="7">'May 1, 2020'!$S$3</definedName>
    <definedName name="IncrPercApril2020" localSheetId="8">'May 1, 2021'!$S$3</definedName>
    <definedName name="IncrPercApril2020">'April 30, 2020'!$O$2</definedName>
    <definedName name="IncrPercApril2020v2" localSheetId="7">'May 1, 2020'!$O$2</definedName>
    <definedName name="IncrPercApril2020v2" localSheetId="8">'May 1, 2021'!$O$2</definedName>
    <definedName name="IncrPercApril2020v2">'April 30, 2020'!$O$3</definedName>
    <definedName name="IncrPercJan2023">'January 1, 2023'!$O$2</definedName>
    <definedName name="IncrPercJan2024">'January 1, 2024'!$O$2</definedName>
    <definedName name="IncrPercJan2025">'1-1-2025'!$K$3</definedName>
    <definedName name="IncrPercJan2026" localSheetId="16">'1-1-2026'!$K$3</definedName>
    <definedName name="IncrPercJan2027">'1-1-2027'!$K$3</definedName>
    <definedName name="IncrPercJan2028">#REF!</definedName>
    <definedName name="IncrPercMarch2019">'March 3, 2019'!$O$2</definedName>
    <definedName name="IncrPercMarch2019v2">'March 3, 2019'!$O$3</definedName>
    <definedName name="IncrPercMay2019">'May 1, 2019'!$O$2</definedName>
    <definedName name="IncrPercMay2019v2">'May 1, 2019'!$O$3</definedName>
    <definedName name="IncrPercMay2020" localSheetId="7">'May 1, 2020'!$S$3</definedName>
    <definedName name="IncrPercMay2020" localSheetId="8">'May 1, 2021'!$S$3</definedName>
    <definedName name="IncrPercMay2020">'April 30, 2020'!$O$2</definedName>
    <definedName name="IncrPercMay2020v2" localSheetId="7">'May 1, 2020'!$O$2</definedName>
    <definedName name="IncrPercMay2020v2">'April 30, 2020'!$O$3</definedName>
    <definedName name="IncrPercNovember2019">'November 1, 2019'!$O$2</definedName>
    <definedName name="IncrPercNovember2019v2">'November 1, 2019'!$O$3</definedName>
    <definedName name="IncrPercSept2023">'September 1, 2023'!$O$2</definedName>
    <definedName name="IncrPercSept2024">'September 1, 2024'!$O$2</definedName>
    <definedName name="Months">Months!$A$1:$B$12</definedName>
    <definedName name="PensionJan2028">#REF!</definedName>
    <definedName name="PercIncrApril2024">#REF!</definedName>
    <definedName name="Rates2017">'May 1, 2017'!$N$6:$O$32</definedName>
    <definedName name="Rates2018">'May 1, 2018'!$N$7:$O$30</definedName>
    <definedName name="RatesApril2020">'April 30, 2020'!$N$5:$Q$32</definedName>
    <definedName name="RatesAugust2019">'November 1, 2019'!$N$7:$O$31</definedName>
    <definedName name="RatesAugust2020">#REF!</definedName>
    <definedName name="RatesJan2023">'January 1, 2023'!$N$8:$T$35</definedName>
    <definedName name="RatesJan2024">'January 1, 2024'!$N$8:$T$36</definedName>
    <definedName name="RatesMarch2019">'March 3, 2019'!$N$7:$O$31</definedName>
    <definedName name="RatesMay2017">'May 1, 2017'!$N$6:$O$32</definedName>
    <definedName name="RatesMay2018">'May 1, 2018'!$N$7:$O$30</definedName>
    <definedName name="RatesMay2019">'May 1, 2019'!$N$7:$O$31</definedName>
    <definedName name="RatesMay2020">'May 1, 2020'!$N$10:$T$35</definedName>
    <definedName name="ratesMay2021">'May 1, 2021'!$N$8:$T$35</definedName>
    <definedName name="RatesMay2022">'May 1, 2022'!$N$8:$T$35</definedName>
    <definedName name="RatesNovember2019">'November 1, 2019'!$N$7:$O$31</definedName>
    <definedName name="RatesSept2023">'September 1, 2023'!$N$8:$T$36</definedName>
    <definedName name="Schedules">Sheet2!$A$2:$A$9</definedName>
    <definedName name="ShoeAllowance" localSheetId="16">'1-1-2026'!$K$4</definedName>
    <definedName name="ShoeAllowance" localSheetId="17">'1-1-2027'!$K$4</definedName>
    <definedName name="ShoeAllowance" localSheetId="15">'4-30-2025'!$K$4</definedName>
    <definedName name="ShoeAllowance">'1-1-2025'!$K$4</definedName>
    <definedName name="Z_1FE68E9A_AB75_4E2C_B18B_F89E0A523960_.wvu.Cols" localSheetId="14" hidden="1">'1-1-2025'!$N:$N</definedName>
    <definedName name="Z_1FE68E9A_AB75_4E2C_B18B_F89E0A523960_.wvu.Cols" localSheetId="16" hidden="1">'1-1-2026'!$N:$N</definedName>
    <definedName name="Z_1FE68E9A_AB75_4E2C_B18B_F89E0A523960_.wvu.Cols" localSheetId="17" hidden="1">'1-1-2027'!$N:$N</definedName>
    <definedName name="Z_1FE68E9A_AB75_4E2C_B18B_F89E0A523960_.wvu.Cols" localSheetId="15" hidden="1">'4-30-2025'!$N:$N</definedName>
    <definedName name="Z_1FE68E9A_AB75_4E2C_B18B_F89E0A523960_.wvu.Cols" localSheetId="6" hidden="1">'April 30, 2020'!$O:$O</definedName>
    <definedName name="Z_1FE68E9A_AB75_4E2C_B18B_F89E0A523960_.wvu.Cols" localSheetId="10" hidden="1">'January 1, 2023'!$S:$S</definedName>
    <definedName name="Z_1FE68E9A_AB75_4E2C_B18B_F89E0A523960_.wvu.Cols" localSheetId="12" hidden="1">'January 1, 2024'!$S:$S</definedName>
    <definedName name="Z_1FE68E9A_AB75_4E2C_B18B_F89E0A523960_.wvu.Cols" localSheetId="7" hidden="1">'May 1, 2020'!$S:$S</definedName>
    <definedName name="Z_1FE68E9A_AB75_4E2C_B18B_F89E0A523960_.wvu.Cols" localSheetId="8" hidden="1">'May 1, 2021'!$S:$S</definedName>
    <definedName name="Z_1FE68E9A_AB75_4E2C_B18B_F89E0A523960_.wvu.Cols" localSheetId="9" hidden="1">'May 1, 2022'!$S:$S</definedName>
    <definedName name="Z_1FE68E9A_AB75_4E2C_B18B_F89E0A523960_.wvu.Cols" localSheetId="11" hidden="1">'September 1, 2023'!$S:$S</definedName>
    <definedName name="Z_1FE68E9A_AB75_4E2C_B18B_F89E0A523960_.wvu.Cols" localSheetId="13" hidden="1">'September 1, 2024'!$R:$R</definedName>
  </definedNames>
  <calcPr calcId="191028"/>
  <customWorkbookViews>
    <customWorkbookView name="hidden" guid="{1FE68E9A-AB75-4E2C-B18B-F89E0A523960}" maximized="1" xWindow="-8" yWindow="-8" windowWidth="1936" windowHeight="1056" activeSheetId="1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29" l="1"/>
  <c r="Q12" i="29"/>
  <c r="R12" i="29"/>
  <c r="S12" i="29"/>
  <c r="P13" i="29"/>
  <c r="Q13" i="29"/>
  <c r="R13" i="29"/>
  <c r="S13" i="29"/>
  <c r="Q12" i="28"/>
  <c r="R12" i="28"/>
  <c r="S12" i="28"/>
  <c r="Q13" i="28"/>
  <c r="R13" i="28"/>
  <c r="S13" i="28"/>
  <c r="P13" i="28"/>
  <c r="P12" i="28"/>
  <c r="R31" i="34"/>
  <c r="Q31" i="34"/>
  <c r="P31" i="34"/>
  <c r="R28" i="34"/>
  <c r="Q28" i="34"/>
  <c r="P28" i="34"/>
  <c r="R25" i="34"/>
  <c r="Q25" i="34"/>
  <c r="P25" i="34"/>
  <c r="R24" i="34"/>
  <c r="Q24" i="34"/>
  <c r="P24" i="34"/>
  <c r="R21" i="34"/>
  <c r="Q21" i="34"/>
  <c r="P21" i="34"/>
  <c r="R20" i="34"/>
  <c r="Q20" i="34"/>
  <c r="P20" i="34"/>
  <c r="R19" i="34"/>
  <c r="Q19" i="34"/>
  <c r="P19" i="34"/>
  <c r="R18" i="34"/>
  <c r="Q18" i="34"/>
  <c r="P18" i="34"/>
  <c r="M13" i="34"/>
  <c r="L13" i="34"/>
  <c r="M12" i="34"/>
  <c r="L12" i="34"/>
  <c r="J12" i="34"/>
  <c r="R11" i="34"/>
  <c r="Q11" i="34"/>
  <c r="M11" i="34"/>
  <c r="S11" i="34" s="1"/>
  <c r="L11" i="34"/>
  <c r="J11" i="34"/>
  <c r="S10" i="34"/>
  <c r="Q10" i="34"/>
  <c r="P10" i="34"/>
  <c r="M10" i="34"/>
  <c r="L10" i="34"/>
  <c r="R10" i="34" s="1"/>
  <c r="J10" i="34"/>
  <c r="R9" i="34"/>
  <c r="Q9" i="34"/>
  <c r="M9" i="34"/>
  <c r="S9" i="34" s="1"/>
  <c r="L9" i="34"/>
  <c r="J9" i="34"/>
  <c r="P9" i="34" s="1"/>
  <c r="L5" i="34"/>
  <c r="L4" i="34"/>
  <c r="L3" i="34"/>
  <c r="K3" i="34"/>
  <c r="J3" i="34"/>
  <c r="L2" i="34"/>
  <c r="K2" i="34"/>
  <c r="L3" i="31"/>
  <c r="L5" i="31"/>
  <c r="L4" i="31"/>
  <c r="L2" i="31"/>
  <c r="R31" i="31"/>
  <c r="Q31" i="31"/>
  <c r="P31" i="31"/>
  <c r="R28" i="31"/>
  <c r="Q28" i="31"/>
  <c r="P28" i="31"/>
  <c r="R25" i="31"/>
  <c r="Q25" i="31"/>
  <c r="P25" i="31"/>
  <c r="R24" i="31"/>
  <c r="Q24" i="31"/>
  <c r="P24" i="31"/>
  <c r="R21" i="31"/>
  <c r="Q21" i="31"/>
  <c r="P21" i="31"/>
  <c r="R20" i="31"/>
  <c r="Q20" i="31"/>
  <c r="P20" i="31"/>
  <c r="R19" i="31"/>
  <c r="Q19" i="31"/>
  <c r="P19" i="31"/>
  <c r="R18" i="31"/>
  <c r="Q18" i="31"/>
  <c r="P18" i="31"/>
  <c r="M13" i="31"/>
  <c r="L13" i="31"/>
  <c r="M12" i="31"/>
  <c r="L12" i="31"/>
  <c r="J12" i="31"/>
  <c r="Q11" i="31"/>
  <c r="M11" i="31"/>
  <c r="S11" i="31" s="1"/>
  <c r="L11" i="31"/>
  <c r="R11" i="31" s="1"/>
  <c r="J11" i="31"/>
  <c r="P11" i="31" s="1"/>
  <c r="R10" i="31"/>
  <c r="Q10" i="31"/>
  <c r="P10" i="31"/>
  <c r="M10" i="31"/>
  <c r="S10" i="31" s="1"/>
  <c r="L10" i="31"/>
  <c r="J10" i="31"/>
  <c r="Q9" i="31"/>
  <c r="M9" i="31"/>
  <c r="S9" i="31" s="1"/>
  <c r="L9" i="31"/>
  <c r="R9" i="31" s="1"/>
  <c r="J9" i="31"/>
  <c r="K3" i="31"/>
  <c r="J3" i="31"/>
  <c r="K2" i="31"/>
  <c r="A2" i="30"/>
  <c r="A3" i="30" s="1"/>
  <c r="R31" i="29"/>
  <c r="Q31" i="29"/>
  <c r="P31" i="29"/>
  <c r="R28" i="29"/>
  <c r="Q28" i="29"/>
  <c r="P28" i="29"/>
  <c r="R25" i="29"/>
  <c r="Q25" i="29"/>
  <c r="P25" i="29"/>
  <c r="R24" i="29"/>
  <c r="Q24" i="29"/>
  <c r="P24" i="29"/>
  <c r="R21" i="29"/>
  <c r="Q21" i="29"/>
  <c r="P21" i="29"/>
  <c r="R20" i="29"/>
  <c r="Q20" i="29"/>
  <c r="P20" i="29"/>
  <c r="R19" i="29"/>
  <c r="Q19" i="29"/>
  <c r="P19" i="29"/>
  <c r="R18" i="29"/>
  <c r="Q18" i="29"/>
  <c r="P18" i="29"/>
  <c r="M13" i="29"/>
  <c r="L13" i="29"/>
  <c r="M12" i="29"/>
  <c r="L12" i="29"/>
  <c r="J12" i="29"/>
  <c r="S11" i="29"/>
  <c r="R11" i="29"/>
  <c r="Q11" i="29"/>
  <c r="M11" i="29"/>
  <c r="L11" i="29"/>
  <c r="J11" i="29"/>
  <c r="P11" i="29" s="1"/>
  <c r="R10" i="29"/>
  <c r="Q10" i="29"/>
  <c r="M10" i="29"/>
  <c r="S10" i="29" s="1"/>
  <c r="L10" i="29"/>
  <c r="J10" i="29"/>
  <c r="P10" i="29" s="1"/>
  <c r="Q9" i="29"/>
  <c r="M9" i="29"/>
  <c r="S9" i="29" s="1"/>
  <c r="L9" i="29"/>
  <c r="R9" i="29" s="1"/>
  <c r="J9" i="29"/>
  <c r="P9" i="29" s="1"/>
  <c r="K3" i="29"/>
  <c r="J3" i="29"/>
  <c r="P11" i="34" l="1"/>
  <c r="P9" i="31"/>
  <c r="A4" i="30"/>
  <c r="A5" i="30" s="1"/>
  <c r="A6" i="30" s="1"/>
  <c r="A7" i="30" s="1"/>
  <c r="A8" i="30" s="1"/>
  <c r="A9" i="30" s="1"/>
  <c r="A10" i="30" s="1"/>
  <c r="A11" i="30" s="1"/>
  <c r="A12" i="30" s="1"/>
  <c r="K2" i="29"/>
  <c r="K2" i="28"/>
  <c r="J3" i="28"/>
  <c r="K3" i="28" l="1"/>
  <c r="R31" i="28" l="1"/>
  <c r="Q31" i="28"/>
  <c r="P31" i="28"/>
  <c r="R28" i="28"/>
  <c r="Q28" i="28"/>
  <c r="P28" i="28"/>
  <c r="R25" i="28"/>
  <c r="Q25" i="28"/>
  <c r="P25" i="28"/>
  <c r="R24" i="28"/>
  <c r="Q24" i="28"/>
  <c r="P24" i="28"/>
  <c r="R21" i="28"/>
  <c r="Q21" i="28"/>
  <c r="P21" i="28"/>
  <c r="R20" i="28"/>
  <c r="Q20" i="28"/>
  <c r="P20" i="28"/>
  <c r="R19" i="28"/>
  <c r="Q19" i="28"/>
  <c r="P19" i="28"/>
  <c r="R18" i="28"/>
  <c r="Q18" i="28"/>
  <c r="P18" i="28"/>
  <c r="L13" i="28"/>
  <c r="M13" i="28"/>
  <c r="L12" i="28"/>
  <c r="M12" i="28"/>
  <c r="J12" i="28"/>
  <c r="Q11" i="28"/>
  <c r="L11" i="28"/>
  <c r="R11" i="28" s="1"/>
  <c r="M11" i="28"/>
  <c r="S11" i="28" s="1"/>
  <c r="J11" i="28"/>
  <c r="P11" i="28" s="1"/>
  <c r="Q10" i="28"/>
  <c r="L10" i="28"/>
  <c r="R10" i="28" s="1"/>
  <c r="M10" i="28"/>
  <c r="S10" i="28" s="1"/>
  <c r="J10" i="28"/>
  <c r="P10" i="28" s="1"/>
  <c r="Q9" i="28"/>
  <c r="L9" i="28"/>
  <c r="R9" i="28" s="1"/>
  <c r="M9" i="28"/>
  <c r="S9" i="28" s="1"/>
  <c r="J9" i="28"/>
  <c r="X35" i="27"/>
  <c r="X34" i="27"/>
  <c r="X35" i="21"/>
  <c r="W35" i="21"/>
  <c r="V35" i="21"/>
  <c r="U35" i="21"/>
  <c r="X34" i="21"/>
  <c r="W34" i="21"/>
  <c r="V34" i="21"/>
  <c r="U34" i="21"/>
  <c r="X35" i="23"/>
  <c r="W35" i="23"/>
  <c r="V35" i="23"/>
  <c r="U35" i="23"/>
  <c r="X34" i="23"/>
  <c r="W34" i="23"/>
  <c r="V34" i="23"/>
  <c r="U34" i="23"/>
  <c r="X35" i="24"/>
  <c r="W35" i="24"/>
  <c r="V35" i="24"/>
  <c r="U35" i="24"/>
  <c r="X34" i="24"/>
  <c r="W34" i="24"/>
  <c r="V34" i="24"/>
  <c r="U34" i="24"/>
  <c r="X35" i="25"/>
  <c r="W35" i="25"/>
  <c r="V35" i="25"/>
  <c r="U35" i="25"/>
  <c r="X34" i="25"/>
  <c r="W34" i="25"/>
  <c r="V34" i="25"/>
  <c r="U34" i="25"/>
  <c r="X35" i="26"/>
  <c r="W35" i="26"/>
  <c r="V35" i="26"/>
  <c r="U35" i="26"/>
  <c r="X34" i="26"/>
  <c r="W34" i="26"/>
  <c r="V34" i="26"/>
  <c r="U34" i="26"/>
  <c r="V35" i="27"/>
  <c r="W35" i="27"/>
  <c r="U35" i="27"/>
  <c r="T35" i="27"/>
  <c r="V34" i="27"/>
  <c r="W34" i="27"/>
  <c r="U34" i="27"/>
  <c r="T34" i="27"/>
  <c r="X35" i="19"/>
  <c r="W35" i="19"/>
  <c r="V35" i="19"/>
  <c r="U35" i="19"/>
  <c r="X34" i="19"/>
  <c r="W34" i="19"/>
  <c r="V34" i="19"/>
  <c r="U34" i="19"/>
  <c r="X32" i="21"/>
  <c r="W32" i="21"/>
  <c r="V32" i="21"/>
  <c r="U32" i="21"/>
  <c r="X32" i="23"/>
  <c r="W32" i="23"/>
  <c r="V32" i="23"/>
  <c r="U32" i="23"/>
  <c r="X32" i="24"/>
  <c r="W32" i="24"/>
  <c r="V32" i="24"/>
  <c r="U32" i="24"/>
  <c r="X32" i="25"/>
  <c r="W32" i="25"/>
  <c r="V32" i="25"/>
  <c r="U32" i="25"/>
  <c r="X32" i="26"/>
  <c r="W32" i="26"/>
  <c r="V32" i="26"/>
  <c r="U32" i="26"/>
  <c r="V32" i="27"/>
  <c r="W32" i="27"/>
  <c r="U32" i="27"/>
  <c r="T32" i="27"/>
  <c r="X32" i="19"/>
  <c r="W32" i="19"/>
  <c r="V32" i="19"/>
  <c r="U32" i="19"/>
  <c r="X29" i="21"/>
  <c r="W29" i="21"/>
  <c r="V29" i="21"/>
  <c r="U29" i="21"/>
  <c r="X29" i="23"/>
  <c r="W29" i="23"/>
  <c r="V29" i="23"/>
  <c r="U29" i="23"/>
  <c r="X29" i="24"/>
  <c r="W29" i="24"/>
  <c r="V29" i="24"/>
  <c r="U29" i="24"/>
  <c r="X29" i="25"/>
  <c r="W29" i="25"/>
  <c r="V29" i="25"/>
  <c r="U29" i="25"/>
  <c r="X29" i="26"/>
  <c r="W29" i="26"/>
  <c r="V29" i="26"/>
  <c r="U29" i="26"/>
  <c r="V29" i="27"/>
  <c r="W29" i="27"/>
  <c r="U29" i="27"/>
  <c r="T29" i="27"/>
  <c r="X29" i="19"/>
  <c r="W29" i="19"/>
  <c r="V29" i="19"/>
  <c r="U29" i="19"/>
  <c r="X26" i="21"/>
  <c r="W26" i="21"/>
  <c r="V26" i="21"/>
  <c r="U26" i="21"/>
  <c r="X25" i="21"/>
  <c r="W25" i="21"/>
  <c r="V25" i="21"/>
  <c r="U25" i="21"/>
  <c r="X26" i="23"/>
  <c r="W26" i="23"/>
  <c r="V26" i="23"/>
  <c r="U26" i="23"/>
  <c r="X25" i="23"/>
  <c r="W25" i="23"/>
  <c r="V25" i="23"/>
  <c r="U25" i="23"/>
  <c r="X26" i="24"/>
  <c r="W26" i="24"/>
  <c r="V26" i="24"/>
  <c r="U26" i="24"/>
  <c r="X25" i="24"/>
  <c r="W25" i="24"/>
  <c r="V25" i="24"/>
  <c r="U25" i="24"/>
  <c r="X26" i="25"/>
  <c r="W26" i="25"/>
  <c r="V26" i="25"/>
  <c r="U26" i="25"/>
  <c r="X25" i="25"/>
  <c r="W25" i="25"/>
  <c r="V25" i="25"/>
  <c r="U25" i="25"/>
  <c r="X26" i="26"/>
  <c r="W26" i="26"/>
  <c r="V26" i="26"/>
  <c r="U26" i="26"/>
  <c r="X25" i="26"/>
  <c r="W25" i="26"/>
  <c r="V25" i="26"/>
  <c r="U25" i="26"/>
  <c r="V26" i="27"/>
  <c r="W26" i="27"/>
  <c r="U26" i="27"/>
  <c r="T26" i="27"/>
  <c r="V25" i="27"/>
  <c r="W25" i="27"/>
  <c r="U25" i="27"/>
  <c r="T25" i="27"/>
  <c r="X26" i="19"/>
  <c r="W26" i="19"/>
  <c r="V26" i="19"/>
  <c r="U26" i="19"/>
  <c r="X25" i="19"/>
  <c r="W25" i="19"/>
  <c r="V25" i="19"/>
  <c r="U25" i="19"/>
  <c r="X22" i="21"/>
  <c r="W22" i="21"/>
  <c r="V22" i="21"/>
  <c r="U22" i="21"/>
  <c r="X21" i="21"/>
  <c r="W21" i="21"/>
  <c r="V21" i="21"/>
  <c r="U21" i="21"/>
  <c r="X20" i="21"/>
  <c r="W20" i="21"/>
  <c r="V20" i="21"/>
  <c r="U20" i="21"/>
  <c r="X19" i="21"/>
  <c r="W19" i="21"/>
  <c r="V19" i="21"/>
  <c r="U19" i="21"/>
  <c r="X22" i="23"/>
  <c r="W22" i="23"/>
  <c r="V22" i="23"/>
  <c r="U22" i="23"/>
  <c r="X21" i="23"/>
  <c r="W21" i="23"/>
  <c r="V21" i="23"/>
  <c r="U21" i="23"/>
  <c r="X20" i="23"/>
  <c r="W20" i="23"/>
  <c r="V20" i="23"/>
  <c r="U20" i="23"/>
  <c r="X19" i="23"/>
  <c r="W19" i="23"/>
  <c r="V19" i="23"/>
  <c r="U19" i="23"/>
  <c r="X22" i="24"/>
  <c r="W22" i="24"/>
  <c r="V22" i="24"/>
  <c r="U22" i="24"/>
  <c r="X21" i="24"/>
  <c r="W21" i="24"/>
  <c r="V21" i="24"/>
  <c r="U21" i="24"/>
  <c r="X20" i="24"/>
  <c r="W20" i="24"/>
  <c r="V20" i="24"/>
  <c r="U20" i="24"/>
  <c r="X19" i="24"/>
  <c r="W19" i="24"/>
  <c r="V19" i="24"/>
  <c r="U19" i="24"/>
  <c r="X22" i="25"/>
  <c r="W22" i="25"/>
  <c r="V22" i="25"/>
  <c r="U22" i="25"/>
  <c r="X21" i="25"/>
  <c r="W21" i="25"/>
  <c r="V21" i="25"/>
  <c r="U21" i="25"/>
  <c r="X20" i="25"/>
  <c r="W20" i="25"/>
  <c r="V20" i="25"/>
  <c r="U20" i="25"/>
  <c r="X19" i="25"/>
  <c r="W19" i="25"/>
  <c r="V19" i="25"/>
  <c r="U19" i="25"/>
  <c r="X22" i="26"/>
  <c r="W22" i="26"/>
  <c r="V22" i="26"/>
  <c r="U22" i="26"/>
  <c r="X21" i="26"/>
  <c r="W21" i="26"/>
  <c r="V21" i="26"/>
  <c r="U21" i="26"/>
  <c r="X20" i="26"/>
  <c r="W20" i="26"/>
  <c r="V20" i="26"/>
  <c r="U20" i="26"/>
  <c r="X19" i="26"/>
  <c r="W19" i="26"/>
  <c r="V19" i="26"/>
  <c r="U19" i="26"/>
  <c r="V22" i="27"/>
  <c r="W22" i="27"/>
  <c r="U22" i="27"/>
  <c r="T22" i="27"/>
  <c r="V21" i="27"/>
  <c r="W21" i="27"/>
  <c r="U21" i="27"/>
  <c r="T21" i="27"/>
  <c r="V20" i="27"/>
  <c r="W20" i="27"/>
  <c r="U20" i="27"/>
  <c r="T20" i="27"/>
  <c r="V19" i="27"/>
  <c r="W19" i="27"/>
  <c r="U19" i="27"/>
  <c r="T19" i="27"/>
  <c r="X22" i="19"/>
  <c r="W22" i="19"/>
  <c r="V22" i="19"/>
  <c r="U22" i="19"/>
  <c r="X21" i="19"/>
  <c r="W21" i="19"/>
  <c r="V21" i="19"/>
  <c r="U21" i="19"/>
  <c r="X20" i="19"/>
  <c r="W20" i="19"/>
  <c r="V20" i="19"/>
  <c r="U20" i="19"/>
  <c r="X19" i="19"/>
  <c r="W19" i="19"/>
  <c r="V19" i="19"/>
  <c r="U19" i="19"/>
  <c r="V11" i="21"/>
  <c r="V12" i="21"/>
  <c r="V13" i="21"/>
  <c r="U14" i="21"/>
  <c r="V14" i="21"/>
  <c r="V11" i="23"/>
  <c r="V12" i="23"/>
  <c r="V13" i="23"/>
  <c r="U14" i="23"/>
  <c r="V14" i="23"/>
  <c r="V11" i="24"/>
  <c r="V12" i="24"/>
  <c r="V13" i="24"/>
  <c r="U14" i="24"/>
  <c r="V14" i="24"/>
  <c r="V11" i="25"/>
  <c r="V12" i="25"/>
  <c r="V13" i="25"/>
  <c r="U14" i="25"/>
  <c r="V14" i="25"/>
  <c r="V11" i="26"/>
  <c r="V12" i="26"/>
  <c r="V13" i="26"/>
  <c r="U14" i="26"/>
  <c r="V14" i="26"/>
  <c r="U11" i="27"/>
  <c r="U12" i="27"/>
  <c r="U13" i="27"/>
  <c r="T14" i="27"/>
  <c r="U14" i="27"/>
  <c r="V11" i="19"/>
  <c r="V12" i="19"/>
  <c r="V13" i="19"/>
  <c r="U14" i="19"/>
  <c r="V14" i="19"/>
  <c r="V10" i="21"/>
  <c r="V10" i="23"/>
  <c r="V10" i="24"/>
  <c r="V10" i="25"/>
  <c r="V10" i="26"/>
  <c r="U10" i="27"/>
  <c r="V10" i="19"/>
  <c r="P9" i="28" l="1"/>
  <c r="O2" i="27"/>
  <c r="P14" i="27"/>
  <c r="V14" i="27" s="1"/>
  <c r="Q14" i="27"/>
  <c r="W14" i="27" s="1"/>
  <c r="P13" i="27"/>
  <c r="V13" i="27" s="1"/>
  <c r="Q13" i="27"/>
  <c r="W13" i="27" s="1"/>
  <c r="N13" i="27"/>
  <c r="T13" i="27" s="1"/>
  <c r="P12" i="27"/>
  <c r="V12" i="27" s="1"/>
  <c r="Q12" i="27"/>
  <c r="W12" i="27" s="1"/>
  <c r="N12" i="27"/>
  <c r="T12" i="27" s="1"/>
  <c r="P11" i="27"/>
  <c r="V11" i="27" s="1"/>
  <c r="Q11" i="27"/>
  <c r="W11" i="27" s="1"/>
  <c r="N11" i="27"/>
  <c r="T11" i="27" s="1"/>
  <c r="P10" i="27"/>
  <c r="V10" i="27" s="1"/>
  <c r="Q10" i="27"/>
  <c r="W10" i="27" s="1"/>
  <c r="N10" i="27"/>
  <c r="Q14" i="26"/>
  <c r="X14" i="26" s="1"/>
  <c r="P14" i="26"/>
  <c r="W14" i="26" s="1"/>
  <c r="Q13" i="26"/>
  <c r="X13" i="26" s="1"/>
  <c r="P13" i="26"/>
  <c r="W13" i="26" s="1"/>
  <c r="N13" i="26"/>
  <c r="U13" i="26" s="1"/>
  <c r="Q12" i="26"/>
  <c r="X12" i="26" s="1"/>
  <c r="P12" i="26"/>
  <c r="W12" i="26" s="1"/>
  <c r="N12" i="26"/>
  <c r="U12" i="26" s="1"/>
  <c r="Q11" i="26"/>
  <c r="X11" i="26" s="1"/>
  <c r="P11" i="26"/>
  <c r="W11" i="26" s="1"/>
  <c r="N11" i="26"/>
  <c r="U11" i="26" s="1"/>
  <c r="Q10" i="26"/>
  <c r="X10" i="26" s="1"/>
  <c r="P10" i="26"/>
  <c r="W10" i="26" s="1"/>
  <c r="N10" i="26"/>
  <c r="U10" i="26" s="1"/>
  <c r="Q14" i="25"/>
  <c r="X14" i="25" s="1"/>
  <c r="P14" i="25"/>
  <c r="W14" i="25" s="1"/>
  <c r="Q13" i="25"/>
  <c r="X13" i="25" s="1"/>
  <c r="P13" i="25"/>
  <c r="W13" i="25" s="1"/>
  <c r="N13" i="25"/>
  <c r="U13" i="25" s="1"/>
  <c r="Q12" i="25"/>
  <c r="X12" i="25" s="1"/>
  <c r="P12" i="25"/>
  <c r="W12" i="25" s="1"/>
  <c r="N12" i="25"/>
  <c r="U12" i="25" s="1"/>
  <c r="Q11" i="25"/>
  <c r="X11" i="25" s="1"/>
  <c r="P11" i="25"/>
  <c r="W11" i="25" s="1"/>
  <c r="N11" i="25"/>
  <c r="U11" i="25" s="1"/>
  <c r="Q10" i="25"/>
  <c r="X10" i="25" s="1"/>
  <c r="P10" i="25"/>
  <c r="W10" i="25" s="1"/>
  <c r="N10" i="25"/>
  <c r="U10" i="25" s="1"/>
  <c r="Q14" i="24"/>
  <c r="X14" i="24" s="1"/>
  <c r="P14" i="24"/>
  <c r="W14" i="24" s="1"/>
  <c r="Q13" i="24"/>
  <c r="X13" i="24" s="1"/>
  <c r="P13" i="24"/>
  <c r="W13" i="24" s="1"/>
  <c r="N13" i="24"/>
  <c r="U13" i="24" s="1"/>
  <c r="Q12" i="24"/>
  <c r="X12" i="24" s="1"/>
  <c r="P12" i="24"/>
  <c r="W12" i="24" s="1"/>
  <c r="N12" i="24"/>
  <c r="U12" i="24" s="1"/>
  <c r="Q11" i="24"/>
  <c r="X11" i="24" s="1"/>
  <c r="P11" i="24"/>
  <c r="W11" i="24" s="1"/>
  <c r="N11" i="24"/>
  <c r="U11" i="24" s="1"/>
  <c r="Q10" i="24"/>
  <c r="X10" i="24" s="1"/>
  <c r="P10" i="24"/>
  <c r="W10" i="24" s="1"/>
  <c r="N10" i="24"/>
  <c r="U10" i="24" s="1"/>
  <c r="Q14" i="23"/>
  <c r="X14" i="23" s="1"/>
  <c r="P14" i="23"/>
  <c r="W14" i="23" s="1"/>
  <c r="Q13" i="23"/>
  <c r="X13" i="23" s="1"/>
  <c r="P13" i="23"/>
  <c r="W13" i="23" s="1"/>
  <c r="N13" i="23"/>
  <c r="U13" i="23" s="1"/>
  <c r="Q12" i="23"/>
  <c r="X12" i="23" s="1"/>
  <c r="P12" i="23"/>
  <c r="W12" i="23" s="1"/>
  <c r="N12" i="23"/>
  <c r="U12" i="23" s="1"/>
  <c r="Q11" i="23"/>
  <c r="X11" i="23" s="1"/>
  <c r="P11" i="23"/>
  <c r="W11" i="23" s="1"/>
  <c r="N11" i="23"/>
  <c r="U11" i="23" s="1"/>
  <c r="Q10" i="23"/>
  <c r="X10" i="23" s="1"/>
  <c r="P10" i="23"/>
  <c r="W10" i="23" s="1"/>
  <c r="N10" i="23"/>
  <c r="U10" i="23" s="1"/>
  <c r="Q14" i="21"/>
  <c r="X14" i="21" s="1"/>
  <c r="P14" i="21"/>
  <c r="W14" i="21" s="1"/>
  <c r="Q13" i="21"/>
  <c r="X13" i="21" s="1"/>
  <c r="P13" i="21"/>
  <c r="W13" i="21" s="1"/>
  <c r="N13" i="21"/>
  <c r="U13" i="21" s="1"/>
  <c r="Q12" i="21"/>
  <c r="X12" i="21" s="1"/>
  <c r="P12" i="21"/>
  <c r="W12" i="21" s="1"/>
  <c r="N12" i="21"/>
  <c r="U12" i="21" s="1"/>
  <c r="Q11" i="21"/>
  <c r="X11" i="21" s="1"/>
  <c r="P11" i="21"/>
  <c r="W11" i="21" s="1"/>
  <c r="N11" i="21"/>
  <c r="U11" i="21" s="1"/>
  <c r="Q10" i="21"/>
  <c r="X10" i="21" s="1"/>
  <c r="P10" i="21"/>
  <c r="W10" i="21" s="1"/>
  <c r="N10" i="21"/>
  <c r="U10" i="21" s="1"/>
  <c r="P11" i="19"/>
  <c r="W11" i="19" s="1"/>
  <c r="P12" i="19"/>
  <c r="W12" i="19" s="1"/>
  <c r="P13" i="19"/>
  <c r="W13" i="19" s="1"/>
  <c r="P14" i="19"/>
  <c r="W14" i="19" s="1"/>
  <c r="P10" i="19"/>
  <c r="W10" i="19" s="1"/>
  <c r="Q11" i="19"/>
  <c r="X11" i="19" s="1"/>
  <c r="Q12" i="19"/>
  <c r="X12" i="19" s="1"/>
  <c r="Q13" i="19"/>
  <c r="X13" i="19" s="1"/>
  <c r="Q14" i="19"/>
  <c r="X14" i="19" s="1"/>
  <c r="Q10" i="19"/>
  <c r="X10" i="19" s="1"/>
  <c r="S32" i="19" a="1"/>
  <c r="T10" i="27" l="1"/>
  <c r="S32" i="19"/>
  <c r="Y32" i="19" s="1"/>
  <c r="C32" i="19" l="1"/>
  <c r="N13" i="19"/>
  <c r="U13" i="19" s="1"/>
  <c r="N12" i="19"/>
  <c r="U12" i="19" s="1"/>
  <c r="N11" i="19"/>
  <c r="U11" i="19" s="1"/>
  <c r="N10" i="19"/>
  <c r="P8" i="16"/>
  <c r="P9" i="16"/>
  <c r="P10" i="16"/>
  <c r="P11" i="16"/>
  <c r="P7" i="16"/>
  <c r="P8" i="13"/>
  <c r="P9" i="13"/>
  <c r="P10" i="13"/>
  <c r="P11" i="13"/>
  <c r="P7" i="13"/>
  <c r="P8" i="11"/>
  <c r="P9" i="11"/>
  <c r="P10" i="11"/>
  <c r="P11" i="11"/>
  <c r="P7" i="11"/>
  <c r="C29" i="14"/>
  <c r="S32" i="21" a="1"/>
  <c r="S32" i="21" l="1"/>
  <c r="Y32" i="21" s="1"/>
  <c r="U10" i="19"/>
  <c r="O7" i="7"/>
  <c r="O8" i="7"/>
  <c r="O9" i="7"/>
  <c r="O6" i="7"/>
  <c r="O19" i="11"/>
  <c r="O16" i="11"/>
  <c r="O10" i="11"/>
  <c r="O18" i="11"/>
  <c r="S32" i="23" a="1"/>
  <c r="O7" i="11"/>
  <c r="O17" i="11"/>
  <c r="O22" i="11"/>
  <c r="O26" i="11"/>
  <c r="O8" i="11"/>
  <c r="O9" i="11"/>
  <c r="S32" i="23" l="1"/>
  <c r="Y32" i="23" s="1"/>
  <c r="C32" i="21"/>
  <c r="O11" i="11"/>
  <c r="O4" i="16"/>
  <c r="O27" i="13"/>
  <c r="O10" i="13"/>
  <c r="O23" i="13"/>
  <c r="O11" i="13"/>
  <c r="O7" i="13"/>
  <c r="O9" i="13"/>
  <c r="S32" i="24" a="1"/>
  <c r="O8" i="13"/>
  <c r="S32" i="24" l="1"/>
  <c r="Y32" i="24" s="1"/>
  <c r="C32" i="23"/>
  <c r="D44" i="18"/>
  <c r="E50" i="18"/>
  <c r="C42" i="18"/>
  <c r="D41" i="18"/>
  <c r="C41" i="18"/>
  <c r="D39" i="18"/>
  <c r="C39" i="18"/>
  <c r="C29" i="18"/>
  <c r="C45" i="18" s="1"/>
  <c r="C26" i="18"/>
  <c r="D25" i="18"/>
  <c r="C25" i="18"/>
  <c r="C24" i="18"/>
  <c r="D19" i="18"/>
  <c r="D42" i="18" s="1"/>
  <c r="D15" i="18"/>
  <c r="D40" i="18" s="1"/>
  <c r="C15" i="18"/>
  <c r="C40" i="18" s="1"/>
  <c r="C9" i="18"/>
  <c r="C37" i="18" s="1"/>
  <c r="D8" i="18"/>
  <c r="D26" i="18" s="1"/>
  <c r="O7" i="16"/>
  <c r="S32" i="25" a="1"/>
  <c r="O11" i="16"/>
  <c r="O8" i="16"/>
  <c r="O10" i="16"/>
  <c r="O9" i="16"/>
  <c r="S32" i="25" l="1"/>
  <c r="Y32" i="25" s="1"/>
  <c r="C32" i="24"/>
  <c r="C51" i="18"/>
  <c r="D9" i="18"/>
  <c r="C30" i="18"/>
  <c r="C21" i="18"/>
  <c r="C33" i="18"/>
  <c r="D24" i="18"/>
  <c r="D51" i="18" s="1"/>
  <c r="N10" i="14"/>
  <c r="N10" i="16"/>
  <c r="N10" i="13"/>
  <c r="N10" i="12"/>
  <c r="N10" i="11"/>
  <c r="S32" i="26" a="1"/>
  <c r="O7" i="14"/>
  <c r="S32" i="26" l="1"/>
  <c r="T32" i="26" s="1"/>
  <c r="C32" i="25"/>
  <c r="C43" i="18"/>
  <c r="D21" i="18"/>
  <c r="D43" i="18" s="1"/>
  <c r="D47" i="18" s="1"/>
  <c r="C34" i="18"/>
  <c r="D34" i="18" s="1"/>
  <c r="D33" i="18"/>
  <c r="D46" i="18" s="1"/>
  <c r="C46" i="18"/>
  <c r="D37" i="18"/>
  <c r="D30" i="18"/>
  <c r="D29" i="18"/>
  <c r="D45" i="18" s="1"/>
  <c r="O4" i="14"/>
  <c r="O4" i="11"/>
  <c r="O4" i="13"/>
  <c r="O4" i="12"/>
  <c r="S10" i="19" a="1"/>
  <c r="R32" i="27" a="1"/>
  <c r="Y32" i="26" l="1"/>
  <c r="S10" i="19"/>
  <c r="Y10" i="19" s="1"/>
  <c r="R32" i="27"/>
  <c r="C32" i="26"/>
  <c r="C49" i="18"/>
  <c r="C47" i="18"/>
  <c r="D49" i="18"/>
  <c r="N9" i="16"/>
  <c r="N8" i="16"/>
  <c r="N7" i="16"/>
  <c r="S10" i="21" a="1"/>
  <c r="X32" i="27" l="1"/>
  <c r="C32" i="27"/>
  <c r="J10" i="19"/>
  <c r="S10" i="21"/>
  <c r="Y10" i="21" s="1"/>
  <c r="N9" i="14"/>
  <c r="N8" i="14"/>
  <c r="N7" i="14"/>
  <c r="N31" i="29" a="1"/>
  <c r="S10" i="23" a="1"/>
  <c r="N31" i="29" l="1"/>
  <c r="A31" i="28"/>
  <c r="T31" i="28"/>
  <c r="S10" i="23"/>
  <c r="Y10" i="23" s="1"/>
  <c r="N9" i="13"/>
  <c r="N8" i="13"/>
  <c r="N7" i="13"/>
  <c r="N9" i="12"/>
  <c r="N8" i="12"/>
  <c r="N7" i="12"/>
  <c r="N9" i="11"/>
  <c r="N8" i="11"/>
  <c r="N7" i="11"/>
  <c r="O28" i="7"/>
  <c r="O24" i="7"/>
  <c r="O25" i="7" s="1"/>
  <c r="N7" i="7"/>
  <c r="N8" i="7"/>
  <c r="N9" i="7"/>
  <c r="N6" i="7"/>
  <c r="K5" i="6"/>
  <c r="L5" i="6" s="1"/>
  <c r="O10" i="12"/>
  <c r="S10" i="24" a="1"/>
  <c r="A31" i="29" l="1"/>
  <c r="T31" i="29"/>
  <c r="J10" i="23"/>
  <c r="S10" i="24"/>
  <c r="Y10" i="24" s="1"/>
  <c r="J10" i="12"/>
  <c r="J10" i="11"/>
  <c r="O30" i="12"/>
  <c r="O29" i="11" s="1"/>
  <c r="O31" i="12"/>
  <c r="O30" i="11" s="1"/>
  <c r="C17" i="11"/>
  <c r="O7" i="12"/>
  <c r="O8" i="12"/>
  <c r="O20" i="12"/>
  <c r="O27" i="12"/>
  <c r="O19" i="12"/>
  <c r="S10" i="25" a="1"/>
  <c r="O18" i="12"/>
  <c r="O9" i="12"/>
  <c r="O17" i="12"/>
  <c r="O11" i="12"/>
  <c r="O23" i="12"/>
  <c r="J10" i="24" l="1"/>
  <c r="S10" i="25"/>
  <c r="Y10" i="25" s="1"/>
  <c r="S34" i="19"/>
  <c r="Y34" i="19" s="1"/>
  <c r="O31" i="13"/>
  <c r="S35" i="19"/>
  <c r="Y35" i="19" s="1"/>
  <c r="J10" i="13"/>
  <c r="J11" i="12"/>
  <c r="J11" i="11"/>
  <c r="J10" i="16"/>
  <c r="C19" i="12"/>
  <c r="O24" i="12"/>
  <c r="C17" i="12"/>
  <c r="C18" i="12"/>
  <c r="C27" i="12"/>
  <c r="J8" i="12"/>
  <c r="J9" i="12"/>
  <c r="C20" i="12"/>
  <c r="O32" i="14"/>
  <c r="C19" i="11"/>
  <c r="J8" i="11"/>
  <c r="C18" i="11"/>
  <c r="C26" i="11"/>
  <c r="C16" i="11"/>
  <c r="J9" i="11"/>
  <c r="O23" i="11"/>
  <c r="J7" i="12"/>
  <c r="C22" i="11"/>
  <c r="O30" i="13"/>
  <c r="O31" i="14"/>
  <c r="C23" i="12"/>
  <c r="S34" i="21" a="1"/>
  <c r="O27" i="16"/>
  <c r="O19" i="13"/>
  <c r="S35" i="21" a="1"/>
  <c r="O20" i="13"/>
  <c r="O10" i="14"/>
  <c r="O18" i="13"/>
  <c r="O17" i="13"/>
  <c r="O23" i="16"/>
  <c r="S10" i="26" a="1"/>
  <c r="J10" i="25" l="1"/>
  <c r="S10" i="26"/>
  <c r="S35" i="21"/>
  <c r="Y35" i="21" s="1"/>
  <c r="S34" i="21"/>
  <c r="Y34" i="21" s="1"/>
  <c r="J10" i="14"/>
  <c r="J11" i="13"/>
  <c r="C18" i="13"/>
  <c r="J8" i="13"/>
  <c r="C27" i="13"/>
  <c r="C19" i="13"/>
  <c r="C20" i="13"/>
  <c r="C23" i="13"/>
  <c r="O24" i="13"/>
  <c r="J9" i="13"/>
  <c r="C17" i="13"/>
  <c r="J7" i="11"/>
  <c r="O20" i="16"/>
  <c r="O17" i="16"/>
  <c r="O26" i="14"/>
  <c r="O22" i="14"/>
  <c r="S34" i="23" a="1"/>
  <c r="S35" i="23" a="1"/>
  <c r="O18" i="16"/>
  <c r="R10" i="27" a="1"/>
  <c r="O19" i="16"/>
  <c r="S13" i="19" a="1"/>
  <c r="Y10" i="26" l="1"/>
  <c r="S13" i="19"/>
  <c r="Y13" i="19" s="1"/>
  <c r="R10" i="27"/>
  <c r="J10" i="26"/>
  <c r="S34" i="23"/>
  <c r="Y34" i="23" s="1"/>
  <c r="S35" i="23"/>
  <c r="Y35" i="23" s="1"/>
  <c r="J11" i="16"/>
  <c r="J7" i="13"/>
  <c r="O11" i="14"/>
  <c r="S34" i="24" a="1"/>
  <c r="O18" i="14"/>
  <c r="S13" i="21" a="1"/>
  <c r="S25" i="19" a="1"/>
  <c r="S29" i="19" a="1"/>
  <c r="O9" i="14"/>
  <c r="O19" i="14"/>
  <c r="S35" i="24" a="1"/>
  <c r="O8" i="14"/>
  <c r="N9" i="28" a="1"/>
  <c r="O16" i="14"/>
  <c r="O17" i="14"/>
  <c r="N9" i="28" l="1"/>
  <c r="X10" i="27"/>
  <c r="J13" i="19"/>
  <c r="J10" i="27"/>
  <c r="L10" i="27" s="1"/>
  <c r="S13" i="21"/>
  <c r="Y13" i="21" s="1"/>
  <c r="S29" i="19"/>
  <c r="Y29" i="19" s="1"/>
  <c r="S25" i="19"/>
  <c r="Y25" i="19" s="1"/>
  <c r="S34" i="24"/>
  <c r="Y34" i="24" s="1"/>
  <c r="S35" i="24"/>
  <c r="Y35" i="24" s="1"/>
  <c r="Q16" i="14"/>
  <c r="J11" i="14"/>
  <c r="C18" i="16"/>
  <c r="C19" i="16"/>
  <c r="O30" i="16"/>
  <c r="C17" i="16"/>
  <c r="J7" i="16"/>
  <c r="C27" i="16"/>
  <c r="J9" i="16"/>
  <c r="O24" i="16"/>
  <c r="J8" i="16"/>
  <c r="C20" i="16"/>
  <c r="O31" i="16"/>
  <c r="S25" i="21" a="1"/>
  <c r="S34" i="25" a="1"/>
  <c r="N9" i="29" a="1"/>
  <c r="S20" i="19" a="1"/>
  <c r="S13" i="23" a="1"/>
  <c r="S14" i="19" a="1"/>
  <c r="S12" i="19" a="1"/>
  <c r="S21" i="19" a="1"/>
  <c r="S19" i="19" a="1"/>
  <c r="S29" i="21" a="1"/>
  <c r="S11" i="19" a="1"/>
  <c r="S22" i="19" a="1"/>
  <c r="S35" i="25" a="1"/>
  <c r="N9" i="29" l="1"/>
  <c r="H9" i="28"/>
  <c r="T9" i="28"/>
  <c r="S12" i="19"/>
  <c r="Y12" i="19" s="1"/>
  <c r="S14" i="19"/>
  <c r="Y14" i="19" s="1"/>
  <c r="S11" i="19"/>
  <c r="Y11" i="19" s="1"/>
  <c r="C29" i="19"/>
  <c r="S13" i="23"/>
  <c r="Y13" i="23" s="1"/>
  <c r="S21" i="19"/>
  <c r="Y21" i="19" s="1"/>
  <c r="S25" i="21"/>
  <c r="Y25" i="21" s="1"/>
  <c r="S29" i="21"/>
  <c r="Y29" i="21" s="1"/>
  <c r="S19" i="19"/>
  <c r="Y19" i="19" s="1"/>
  <c r="S20" i="19"/>
  <c r="Y20" i="19" s="1"/>
  <c r="S22" i="19"/>
  <c r="Y22" i="19" s="1"/>
  <c r="C25" i="19"/>
  <c r="S35" i="25"/>
  <c r="Y35" i="25" s="1"/>
  <c r="S34" i="25"/>
  <c r="Y34" i="25" s="1"/>
  <c r="C23" i="16"/>
  <c r="S19" i="21" a="1"/>
  <c r="S22" i="21" a="1"/>
  <c r="S29" i="23" a="1"/>
  <c r="S13" i="24" a="1"/>
  <c r="S20" i="21" a="1"/>
  <c r="S11" i="21" a="1"/>
  <c r="S21" i="21" a="1"/>
  <c r="S34" i="26" a="1"/>
  <c r="S12" i="21" a="1"/>
  <c r="S25" i="23" a="1"/>
  <c r="S14" i="21" a="1"/>
  <c r="S35" i="26" a="1"/>
  <c r="T9" i="29" l="1"/>
  <c r="H9" i="29"/>
  <c r="J13" i="23"/>
  <c r="S14" i="21"/>
  <c r="Y14" i="21" s="1"/>
  <c r="J14" i="19"/>
  <c r="C29" i="21"/>
  <c r="C25" i="21"/>
  <c r="C22" i="19"/>
  <c r="C20" i="19"/>
  <c r="C19" i="19"/>
  <c r="C21" i="19"/>
  <c r="J12" i="19"/>
  <c r="J11" i="19"/>
  <c r="S21" i="21"/>
  <c r="Y21" i="21" s="1"/>
  <c r="S13" i="24"/>
  <c r="Y13" i="24" s="1"/>
  <c r="S22" i="21"/>
  <c r="Y22" i="21" s="1"/>
  <c r="S19" i="21"/>
  <c r="Y19" i="21" s="1"/>
  <c r="S20" i="21"/>
  <c r="Y20" i="21" s="1"/>
  <c r="S11" i="21"/>
  <c r="Y11" i="21" s="1"/>
  <c r="S29" i="23"/>
  <c r="Y29" i="23" s="1"/>
  <c r="S12" i="21"/>
  <c r="Y12" i="21" s="1"/>
  <c r="S25" i="23"/>
  <c r="Y25" i="23" s="1"/>
  <c r="S35" i="26"/>
  <c r="S34" i="26"/>
  <c r="J7" i="14"/>
  <c r="S12" i="23" a="1"/>
  <c r="S21" i="23" a="1"/>
  <c r="S25" i="24" a="1"/>
  <c r="S13" i="25" a="1"/>
  <c r="S14" i="23" a="1"/>
  <c r="S19" i="23" a="1"/>
  <c r="S22" i="23" a="1"/>
  <c r="S20" i="23" a="1"/>
  <c r="S11" i="23" a="1"/>
  <c r="S29" i="24" a="1"/>
  <c r="Y35" i="26" l="1"/>
  <c r="T35" i="26"/>
  <c r="Y34" i="26"/>
  <c r="T34" i="26"/>
  <c r="S14" i="23"/>
  <c r="C22" i="21"/>
  <c r="C19" i="21"/>
  <c r="C21" i="21"/>
  <c r="S13" i="25"/>
  <c r="Y13" i="25" s="1"/>
  <c r="S21" i="23"/>
  <c r="Y21" i="23" s="1"/>
  <c r="J13" i="24"/>
  <c r="S12" i="23"/>
  <c r="Y12" i="23" s="1"/>
  <c r="S29" i="24"/>
  <c r="Y29" i="24" s="1"/>
  <c r="S25" i="24"/>
  <c r="Y25" i="24" s="1"/>
  <c r="S20" i="23"/>
  <c r="Y20" i="23" s="1"/>
  <c r="S11" i="23"/>
  <c r="Y11" i="23" s="1"/>
  <c r="S19" i="23"/>
  <c r="Y19" i="23" s="1"/>
  <c r="S22" i="23"/>
  <c r="Y22" i="23" s="1"/>
  <c r="C29" i="23"/>
  <c r="C25" i="23"/>
  <c r="C20" i="21"/>
  <c r="J8" i="14"/>
  <c r="S25" i="25" a="1"/>
  <c r="S20" i="24" a="1"/>
  <c r="S19" i="24" a="1"/>
  <c r="S11" i="24" a="1"/>
  <c r="S12" i="24" a="1"/>
  <c r="S13" i="26" a="1"/>
  <c r="S22" i="24" a="1"/>
  <c r="S14" i="24" a="1"/>
  <c r="S29" i="25" a="1"/>
  <c r="S21" i="24" a="1"/>
  <c r="J14" i="23" l="1"/>
  <c r="Y14" i="23"/>
  <c r="S14" i="24"/>
  <c r="Y14" i="24" s="1"/>
  <c r="C29" i="24"/>
  <c r="C25" i="24"/>
  <c r="C21" i="23"/>
  <c r="C22" i="23"/>
  <c r="C19" i="23"/>
  <c r="C20" i="23"/>
  <c r="J12" i="23"/>
  <c r="J13" i="25"/>
  <c r="S21" i="24"/>
  <c r="Y21" i="24" s="1"/>
  <c r="S13" i="26"/>
  <c r="S22" i="24"/>
  <c r="Y22" i="24" s="1"/>
  <c r="S19" i="24"/>
  <c r="Y19" i="24" s="1"/>
  <c r="S25" i="25"/>
  <c r="Y25" i="25" s="1"/>
  <c r="S11" i="24"/>
  <c r="Y11" i="24" s="1"/>
  <c r="S20" i="24"/>
  <c r="Y20" i="24" s="1"/>
  <c r="S29" i="25"/>
  <c r="Y29" i="25" s="1"/>
  <c r="S12" i="24"/>
  <c r="Y12" i="24" s="1"/>
  <c r="J11" i="23"/>
  <c r="J9" i="14"/>
  <c r="S19" i="25" a="1"/>
  <c r="S29" i="26" a="1"/>
  <c r="R13" i="27" a="1"/>
  <c r="S20" i="25" a="1"/>
  <c r="S21" i="25" a="1"/>
  <c r="S25" i="26" a="1"/>
  <c r="S22" i="25" a="1"/>
  <c r="S12" i="25" a="1"/>
  <c r="S11" i="25" a="1"/>
  <c r="S14" i="25" a="1"/>
  <c r="Y13" i="26" l="1"/>
  <c r="S14" i="25"/>
  <c r="Y14" i="25" s="1"/>
  <c r="J14" i="24"/>
  <c r="C19" i="24"/>
  <c r="C22" i="24"/>
  <c r="J13" i="26"/>
  <c r="J11" i="24"/>
  <c r="S21" i="25"/>
  <c r="Y21" i="25" s="1"/>
  <c r="R13" i="27"/>
  <c r="C21" i="24"/>
  <c r="S12" i="25"/>
  <c r="Y12" i="25" s="1"/>
  <c r="S29" i="26"/>
  <c r="T29" i="26" s="1"/>
  <c r="S25" i="26"/>
  <c r="T25" i="26" s="1"/>
  <c r="S20" i="25"/>
  <c r="Y20" i="25" s="1"/>
  <c r="S11" i="25"/>
  <c r="Y11" i="25" s="1"/>
  <c r="S19" i="25"/>
  <c r="Y19" i="25" s="1"/>
  <c r="S22" i="25"/>
  <c r="Y22" i="25" s="1"/>
  <c r="C20" i="24"/>
  <c r="C29" i="25"/>
  <c r="J12" i="24"/>
  <c r="C25" i="25"/>
  <c r="C17" i="14"/>
  <c r="R25" i="27" a="1"/>
  <c r="S20" i="26" a="1"/>
  <c r="S22" i="26" a="1"/>
  <c r="N12" i="28" a="1"/>
  <c r="S21" i="26" a="1"/>
  <c r="S14" i="26" a="1"/>
  <c r="R29" i="27" a="1"/>
  <c r="S19" i="26" a="1"/>
  <c r="S12" i="26" a="1"/>
  <c r="S11" i="26" a="1"/>
  <c r="N12" i="28" l="1"/>
  <c r="X13" i="27"/>
  <c r="Y29" i="26"/>
  <c r="Y25" i="26"/>
  <c r="S14" i="26"/>
  <c r="J14" i="25"/>
  <c r="C29" i="26"/>
  <c r="C25" i="26"/>
  <c r="C21" i="25"/>
  <c r="C22" i="25"/>
  <c r="C19" i="25"/>
  <c r="J12" i="25"/>
  <c r="J13" i="27"/>
  <c r="S21" i="26"/>
  <c r="S22" i="26"/>
  <c r="S20" i="26"/>
  <c r="S19" i="26"/>
  <c r="S11" i="26"/>
  <c r="R25" i="27"/>
  <c r="R29" i="27"/>
  <c r="S12" i="26"/>
  <c r="C20" i="25"/>
  <c r="J11" i="25"/>
  <c r="C16" i="14"/>
  <c r="N28" i="28" a="1"/>
  <c r="R20" i="27" a="1"/>
  <c r="R12" i="27" a="1"/>
  <c r="R21" i="27" a="1"/>
  <c r="R22" i="27" a="1"/>
  <c r="N24" i="28" a="1"/>
  <c r="R19" i="27" a="1"/>
  <c r="R11" i="27" a="1"/>
  <c r="R14" i="27" a="1"/>
  <c r="N12" i="29" a="1"/>
  <c r="N12" i="29" l="1"/>
  <c r="T12" i="29" s="1"/>
  <c r="T12" i="28"/>
  <c r="N28" i="28"/>
  <c r="N24" i="28"/>
  <c r="H12" i="28"/>
  <c r="X29" i="27"/>
  <c r="X25" i="27"/>
  <c r="Y12" i="26"/>
  <c r="Y14" i="26"/>
  <c r="Y19" i="26"/>
  <c r="Y11" i="26"/>
  <c r="Y20" i="26"/>
  <c r="Y22" i="26"/>
  <c r="Y21" i="26"/>
  <c r="R14" i="27"/>
  <c r="J14" i="26"/>
  <c r="C29" i="27"/>
  <c r="C25" i="27"/>
  <c r="C22" i="26"/>
  <c r="C21" i="26"/>
  <c r="C19" i="26"/>
  <c r="C20" i="26"/>
  <c r="J12" i="26"/>
  <c r="J11" i="26"/>
  <c r="R21" i="27"/>
  <c r="R12" i="27"/>
  <c r="R11" i="27"/>
  <c r="R19" i="27"/>
  <c r="R20" i="27"/>
  <c r="R22" i="27"/>
  <c r="C18" i="14"/>
  <c r="N11" i="28" a="1"/>
  <c r="N10" i="28" a="1"/>
  <c r="N20" i="28" a="1"/>
  <c r="N28" i="29" a="1"/>
  <c r="N21" i="28" a="1"/>
  <c r="N19" i="28" a="1"/>
  <c r="N13" i="28" a="1"/>
  <c r="N24" i="29" a="1"/>
  <c r="N18" i="28" a="1"/>
  <c r="H12" i="29" l="1"/>
  <c r="N24" i="29"/>
  <c r="N28" i="29"/>
  <c r="T24" i="28"/>
  <c r="A28" i="28"/>
  <c r="A24" i="28"/>
  <c r="N10" i="28"/>
  <c r="N11" i="28"/>
  <c r="N18" i="28"/>
  <c r="N21" i="28"/>
  <c r="N20" i="28"/>
  <c r="N19" i="28"/>
  <c r="N13" i="28"/>
  <c r="T28" i="28"/>
  <c r="X22" i="27"/>
  <c r="X20" i="27"/>
  <c r="X12" i="27"/>
  <c r="X21" i="27"/>
  <c r="X19" i="27"/>
  <c r="X11" i="27"/>
  <c r="J14" i="27"/>
  <c r="X14" i="27"/>
  <c r="C22" i="27"/>
  <c r="C20" i="27"/>
  <c r="C19" i="27"/>
  <c r="C21" i="27"/>
  <c r="J12" i="27"/>
  <c r="J11" i="27"/>
  <c r="C19" i="14"/>
  <c r="N19" i="29" a="1"/>
  <c r="N21" i="29" a="1"/>
  <c r="N10" i="29" a="1"/>
  <c r="N13" i="29" a="1"/>
  <c r="N18" i="29" a="1"/>
  <c r="N20" i="29" a="1"/>
  <c r="N11" i="29" a="1"/>
  <c r="N13" i="29" l="1"/>
  <c r="T13" i="29" s="1"/>
  <c r="T13" i="28"/>
  <c r="T28" i="29"/>
  <c r="A24" i="29"/>
  <c r="T24" i="29"/>
  <c r="A28" i="29"/>
  <c r="N20" i="29"/>
  <c r="N21" i="29"/>
  <c r="N18" i="29"/>
  <c r="N11" i="29"/>
  <c r="N19" i="29"/>
  <c r="N10" i="29"/>
  <c r="T20" i="28"/>
  <c r="A21" i="28"/>
  <c r="A18" i="28"/>
  <c r="H11" i="28"/>
  <c r="T19" i="28"/>
  <c r="H10" i="28"/>
  <c r="T21" i="28"/>
  <c r="T11" i="28"/>
  <c r="A20" i="28"/>
  <c r="A19" i="28"/>
  <c r="H13" i="28"/>
  <c r="T18" i="28"/>
  <c r="T10" i="28"/>
  <c r="O23" i="14"/>
  <c r="C22" i="14"/>
  <c r="S26" i="19" a="1"/>
  <c r="T10" i="29" l="1"/>
  <c r="T19" i="29"/>
  <c r="H13" i="29"/>
  <c r="H11" i="29"/>
  <c r="T18" i="29"/>
  <c r="A21" i="29"/>
  <c r="A20" i="29"/>
  <c r="T20" i="29"/>
  <c r="A19" i="29"/>
  <c r="A18" i="29"/>
  <c r="T11" i="29"/>
  <c r="H10" i="29"/>
  <c r="T21" i="29"/>
  <c r="S26" i="19"/>
  <c r="Y26" i="19" s="1"/>
  <c r="C26" i="14"/>
  <c r="S26" i="21" a="1"/>
  <c r="S26" i="21" l="1"/>
  <c r="Y26" i="21" s="1"/>
  <c r="S26" i="23" a="1"/>
  <c r="S26" i="23" l="1"/>
  <c r="Y26" i="23" s="1"/>
  <c r="J10" i="21"/>
  <c r="S26" i="24" a="1"/>
  <c r="S26" i="24" l="1"/>
  <c r="Y26" i="24" s="1"/>
  <c r="J12" i="21"/>
  <c r="S26" i="25" a="1"/>
  <c r="S26" i="25" l="1"/>
  <c r="Y26" i="25" s="1"/>
  <c r="J13" i="21"/>
  <c r="S26" i="26" a="1"/>
  <c r="S26" i="26" l="1"/>
  <c r="J14" i="21"/>
  <c r="R26" i="27" a="1"/>
  <c r="Y26" i="26" l="1"/>
  <c r="R26" i="27"/>
  <c r="J11" i="21"/>
  <c r="N25" i="28" a="1"/>
  <c r="N25" i="28" l="1"/>
  <c r="X26" i="27"/>
  <c r="N25" i="29" a="1"/>
  <c r="N25" i="29" l="1"/>
  <c r="T25" i="28"/>
  <c r="T25" i="29" l="1"/>
  <c r="N28" i="31" l="1" a="1"/>
  <c r="N18" i="31" a="1"/>
  <c r="N10" i="31" a="1"/>
  <c r="N20" i="31" a="1"/>
  <c r="N11" i="31" a="1"/>
  <c r="N12" i="31" a="1"/>
  <c r="N19" i="31" a="1"/>
  <c r="N25" i="31" a="1"/>
  <c r="N13" i="31" a="1"/>
  <c r="N24" i="31" a="1"/>
  <c r="N21" i="31" a="1"/>
  <c r="N31" i="31" a="1"/>
  <c r="N9" i="31" a="1"/>
  <c r="N9" i="31" l="1"/>
  <c r="N31" i="31"/>
  <c r="N21" i="31"/>
  <c r="N24" i="31"/>
  <c r="N13" i="31"/>
  <c r="N25" i="31"/>
  <c r="N19" i="31"/>
  <c r="N12" i="31"/>
  <c r="N11" i="31"/>
  <c r="N20" i="31"/>
  <c r="N10" i="31"/>
  <c r="N18" i="31"/>
  <c r="N28" i="31"/>
  <c r="N12" i="34" a="1"/>
  <c r="N11" i="34" a="1"/>
  <c r="N20" i="34" a="1"/>
  <c r="N10" i="34" a="1"/>
  <c r="N18" i="34" a="1"/>
  <c r="N28" i="34" a="1"/>
  <c r="N9" i="34" a="1"/>
  <c r="N31" i="34" a="1"/>
  <c r="N21" i="34" a="1"/>
  <c r="N24" i="34" a="1"/>
  <c r="N13" i="34" a="1"/>
  <c r="N19" i="34" a="1"/>
  <c r="N25" i="34" a="1"/>
  <c r="N25" i="34" l="1"/>
  <c r="T25" i="34" s="1"/>
  <c r="N19" i="34"/>
  <c r="N13" i="34"/>
  <c r="H13" i="34" s="1"/>
  <c r="N24" i="34"/>
  <c r="N21" i="34"/>
  <c r="N31" i="34"/>
  <c r="N9" i="34"/>
  <c r="N28" i="34"/>
  <c r="N18" i="34"/>
  <c r="N10" i="34"/>
  <c r="N20" i="34"/>
  <c r="N11" i="34"/>
  <c r="N12" i="34"/>
  <c r="H12" i="34" s="1"/>
  <c r="T25" i="31"/>
  <c r="A19" i="31"/>
  <c r="T19" i="31"/>
  <c r="H13" i="31"/>
  <c r="A24" i="31"/>
  <c r="T24" i="31"/>
  <c r="T21" i="31"/>
  <c r="A21" i="31"/>
  <c r="A31" i="31"/>
  <c r="T31" i="31"/>
  <c r="T9" i="31"/>
  <c r="H9" i="31"/>
  <c r="A28" i="31"/>
  <c r="T28" i="31"/>
  <c r="A18" i="31"/>
  <c r="T18" i="31"/>
  <c r="T10" i="31"/>
  <c r="H10" i="31"/>
  <c r="T20" i="31"/>
  <c r="A20" i="31"/>
  <c r="T11" i="31"/>
  <c r="H11" i="31"/>
  <c r="H12" i="31"/>
  <c r="T11" i="34" l="1"/>
  <c r="H11" i="34"/>
  <c r="T9" i="34"/>
  <c r="H9" i="34"/>
  <c r="T31" i="34"/>
  <c r="A31" i="34"/>
  <c r="A19" i="34"/>
  <c r="T19" i="34"/>
  <c r="T20" i="34"/>
  <c r="A20" i="34"/>
  <c r="H10" i="34"/>
  <c r="T10" i="34"/>
  <c r="A18" i="34"/>
  <c r="T18" i="34"/>
  <c r="T21" i="34"/>
  <c r="A21" i="34"/>
  <c r="T24" i="34"/>
  <c r="A24" i="34"/>
  <c r="T28" i="34"/>
  <c r="A28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Miller, Brenda </author>
  </authors>
  <commentList>
    <comment ref="P7" authorId="0" shapeId="0" xr:uid="{324CBDA3-99D5-4250-A52B-BC57D2E3F595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Shoe premium included in new hourly rate.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<sst xmlns="http://schemas.openxmlformats.org/spreadsheetml/2006/main" count="1827" uniqueCount="235">
  <si>
    <t>2020 Annualized Total Compensation -</t>
  </si>
  <si>
    <r>
      <t>Note:</t>
    </r>
    <r>
      <rPr>
        <sz val="10"/>
        <rFont val="Arial"/>
        <family val="2"/>
      </rPr>
      <t xml:space="preserve">  Enter </t>
    </r>
    <r>
      <rPr>
        <sz val="10"/>
        <color indexed="17"/>
        <rFont val="Arial"/>
        <family val="2"/>
      </rPr>
      <t>bold, green</t>
    </r>
    <r>
      <rPr>
        <sz val="10"/>
        <rFont val="Arial"/>
        <family val="2"/>
      </rPr>
      <t xml:space="preserve"> cells only - base hourly compensation, and vacation days.  The spreadsheet will do the rest.</t>
    </r>
  </si>
  <si>
    <t>Comments</t>
  </si>
  <si>
    <t>Medical Coverage Elected</t>
  </si>
  <si>
    <t>Married</t>
  </si>
  <si>
    <t>Single</t>
  </si>
  <si>
    <t>Hourly Rate</t>
  </si>
  <si>
    <t>Calculated Field</t>
  </si>
  <si>
    <t>Base Compensation</t>
  </si>
  <si>
    <t xml:space="preserve"> </t>
  </si>
  <si>
    <t>Medical - Plan/Option</t>
  </si>
  <si>
    <t>Choice Passport Network</t>
  </si>
  <si>
    <t>Family</t>
  </si>
  <si>
    <t>City Cost</t>
  </si>
  <si>
    <t>Employee Cost - Wellness Rates</t>
  </si>
  <si>
    <t>HRA City Cost</t>
  </si>
  <si>
    <t>2020 Contribution</t>
  </si>
  <si>
    <t>Dental City Cost</t>
  </si>
  <si>
    <t>2020 Rates</t>
  </si>
  <si>
    <t>Life Insurance City Cost</t>
  </si>
  <si>
    <t>2020  Rates</t>
  </si>
  <si>
    <t>LTD City Cost</t>
  </si>
  <si>
    <r>
      <t xml:space="preserve">Vacation Days </t>
    </r>
    <r>
      <rPr>
        <sz val="10"/>
        <rFont val="Arial"/>
        <family val="2"/>
      </rPr>
      <t>/ Cost</t>
    </r>
  </si>
  <si>
    <t>Holidays / Cost</t>
  </si>
  <si>
    <t>Sick Leave Days / Cost</t>
  </si>
  <si>
    <t>Pension (PERA coordinated)</t>
  </si>
  <si>
    <t>Employee Cost</t>
  </si>
  <si>
    <t>Legally Required (Social Security/Medicare) Note: 2018 maximum Soc Sec wage base is $128,400</t>
  </si>
  <si>
    <t>Total Compensation $'s</t>
  </si>
  <si>
    <t>Base Pay</t>
  </si>
  <si>
    <t>Medical Insurance</t>
  </si>
  <si>
    <t>HRA/VEBA</t>
  </si>
  <si>
    <t>Dental Insurance</t>
  </si>
  <si>
    <t>Life and AD&amp;D</t>
  </si>
  <si>
    <t>Disability Insurance</t>
  </si>
  <si>
    <t>City-paid Parking</t>
  </si>
  <si>
    <t>Pension</t>
  </si>
  <si>
    <t>Social Security &amp; Medicare</t>
  </si>
  <si>
    <t>Total Benefits</t>
  </si>
  <si>
    <t>Total Compensation</t>
  </si>
  <si>
    <t>Vacation, Sick, Holiday</t>
  </si>
  <si>
    <t>ELECTRICIANS (CEL)  Effective May 1, 2017</t>
  </si>
  <si>
    <t>Hourly</t>
  </si>
  <si>
    <t>FLSA</t>
  </si>
  <si>
    <t>OTC</t>
  </si>
  <si>
    <t>CODE</t>
  </si>
  <si>
    <t>CLASSIFICATION</t>
  </si>
  <si>
    <t>PTS</t>
  </si>
  <si>
    <t xml:space="preserve"> G</t>
  </si>
  <si>
    <t>P</t>
  </si>
  <si>
    <t>Rate</t>
  </si>
  <si>
    <t>N</t>
  </si>
  <si>
    <t>01</t>
  </si>
  <si>
    <t>03860C</t>
  </si>
  <si>
    <t>Electrician</t>
  </si>
  <si>
    <t>H</t>
  </si>
  <si>
    <t>02</t>
  </si>
  <si>
    <t>04600C</t>
  </si>
  <si>
    <t>Foreman, Electrician</t>
  </si>
  <si>
    <t>03</t>
  </si>
  <si>
    <t>04605C</t>
  </si>
  <si>
    <t xml:space="preserve">Foreman, (Master) Electrician </t>
  </si>
  <si>
    <t>CSU N42</t>
  </si>
  <si>
    <t>05140C</t>
  </si>
  <si>
    <t>*General Foreman, Electrician</t>
  </si>
  <si>
    <t xml:space="preserve">*This classification is located in the Minneapolis City Supervisor's Union.  </t>
  </si>
  <si>
    <t>Longevity</t>
  </si>
  <si>
    <t xml:space="preserve">Employees shall receive the following longevity paid on straight time hours only to a maximum of 80 hours per pay period.  </t>
  </si>
  <si>
    <t>hourly longevity at the beginning of the 10th year of service.</t>
  </si>
  <si>
    <t>LNG10</t>
  </si>
  <si>
    <t>hourly longevity at the beginning of the 15th year of service.</t>
  </si>
  <si>
    <t>LNG15</t>
  </si>
  <si>
    <t xml:space="preserve">hourly longevity at the beginning of the 20th year of service. </t>
  </si>
  <si>
    <t>LNG20</t>
  </si>
  <si>
    <t>hourly longevity at the beginning of the 25th year of service.</t>
  </si>
  <si>
    <t>LNG25</t>
  </si>
  <si>
    <t>Shift Differentials</t>
  </si>
  <si>
    <t xml:space="preserve">Provided that a night shift differential of </t>
  </si>
  <si>
    <t xml:space="preserve">per hour for each hour, or fraction thereof, they </t>
  </si>
  <si>
    <t>CELEVE</t>
  </si>
  <si>
    <t xml:space="preserve">actually work, shall be paid to all employees who work a second shift (any full work shift which </t>
  </si>
  <si>
    <t>CELSGT</t>
  </si>
  <si>
    <t>begins between the hours of 12:01 p.m. and 6:00 p.m.) of the employer's signal truck operation.</t>
  </si>
  <si>
    <t xml:space="preserve">Provided that a weekend shift differential of </t>
  </si>
  <si>
    <t xml:space="preserve">per hour shall be paid to employees who work </t>
  </si>
  <si>
    <t>CELWKE</t>
  </si>
  <si>
    <t>on a Saturday or Sunday.</t>
  </si>
  <si>
    <t>CELCDY</t>
  </si>
  <si>
    <t>CELCWE</t>
  </si>
  <si>
    <t>ATTACHMENT A</t>
  </si>
  <si>
    <t>ELECTRICIANS (CEL)  Effective May 1, 2018</t>
  </si>
  <si>
    <t>IncrPerc2018</t>
  </si>
  <si>
    <t>Previous Incr</t>
  </si>
  <si>
    <t>IncrPerc2018v2</t>
  </si>
  <si>
    <t>New Incr</t>
  </si>
  <si>
    <t>Total Increase</t>
  </si>
  <si>
    <t>GRADE</t>
  </si>
  <si>
    <t>Applied to</t>
  </si>
  <si>
    <t>RatesMay2017</t>
  </si>
  <si>
    <t>10375C</t>
  </si>
  <si>
    <t>*Supervisor Water Plant Electrical and Control Systems</t>
  </si>
  <si>
    <t xml:space="preserve">*These classifications are located in the Minneapolis City Supervisor's Union.  </t>
  </si>
  <si>
    <t>Longevity - 10 years</t>
  </si>
  <si>
    <t>Longevity - 15 years</t>
  </si>
  <si>
    <t>Longevity - 20 years</t>
  </si>
  <si>
    <t>Longevity - 25 years</t>
  </si>
  <si>
    <t>TL-Evening Shift Premium-CEL</t>
  </si>
  <si>
    <t>TL-Signal Truck Premium-CEL</t>
  </si>
  <si>
    <t>TL-Wkend Shift dif CEL</t>
  </si>
  <si>
    <t>On-Call - Water Treatment and Distribution Services Employees</t>
  </si>
  <si>
    <t>TL-On call by the day-CEL</t>
  </si>
  <si>
    <t>Eligible employees will be paid the equivalent to one hour of their straight time rate of pay</t>
  </si>
  <si>
    <t>TL-On call by day Weekend-CEL</t>
  </si>
  <si>
    <t>for each weekday the employee is "on call." The employee will be paid the equivalent of 1.5</t>
  </si>
  <si>
    <t>hours of their straight time rate of pay for each weekend day (Saturday or Sunday) or holiday</t>
  </si>
  <si>
    <t>the employee is "on call."</t>
  </si>
  <si>
    <t>ELECTRICIANS (CEL)  Effective March 3, 2019</t>
  </si>
  <si>
    <t>IncrPercMarch2019</t>
  </si>
  <si>
    <t>Previous Increase</t>
  </si>
  <si>
    <t>IncrPercMarch2019v2</t>
  </si>
  <si>
    <t>New Increase</t>
  </si>
  <si>
    <t>Rates2018</t>
  </si>
  <si>
    <t>Previously, the March 2019 increase was applied to May 2017</t>
  </si>
  <si>
    <t>ELECTRICIANS (CEL)  Effective May 1, 2019</t>
  </si>
  <si>
    <t>IncrPercMay2019</t>
  </si>
  <si>
    <t>IncrPercMay2019v2</t>
  </si>
  <si>
    <t>RatesMay2018</t>
  </si>
  <si>
    <t>ELECTRICIANS (CEL)  Effective November 1, 2019</t>
  </si>
  <si>
    <t>IncrPercNovember2019</t>
  </si>
  <si>
    <t>IncrPercNovember2019v2</t>
  </si>
  <si>
    <t>RatesMay2019</t>
  </si>
  <si>
    <t>ELECTRICIANS (CEL)  Effective April 30, 2020</t>
  </si>
  <si>
    <t>IncrPercApril2020</t>
  </si>
  <si>
    <t>IncrPercApril2020v2</t>
  </si>
  <si>
    <t>RatesNovember2019</t>
  </si>
  <si>
    <t>Shoe premium</t>
  </si>
  <si>
    <t>CELWLD</t>
  </si>
  <si>
    <t>Welding premium - add to COMET</t>
  </si>
  <si>
    <t>City of Minneapolis</t>
  </si>
  <si>
    <t>IncrPerc2020</t>
  </si>
  <si>
    <t>ELECTRICIANS (CEL)</t>
  </si>
  <si>
    <t>Applied to Data from</t>
  </si>
  <si>
    <t>RatesApril2020</t>
  </si>
  <si>
    <r>
      <t xml:space="preserve">Effective May 1, 2020 </t>
    </r>
    <r>
      <rPr>
        <i/>
        <sz val="10"/>
        <rFont val="Calibri"/>
        <family val="2"/>
        <scheme val="minor"/>
      </rPr>
      <t>(General increase of 1.00%)</t>
    </r>
  </si>
  <si>
    <t>Last revised 1/6/2023</t>
  </si>
  <si>
    <t>OT</t>
  </si>
  <si>
    <t>Class
Grade</t>
  </si>
  <si>
    <t>Pay</t>
  </si>
  <si>
    <t>Comp Calculations</t>
  </si>
  <si>
    <t>HRIS/Payroll</t>
  </si>
  <si>
    <t>Code</t>
  </si>
  <si>
    <t>Salary Grd</t>
  </si>
  <si>
    <t>Job Code</t>
  </si>
  <si>
    <t>Job Title</t>
  </si>
  <si>
    <t>Grade</t>
  </si>
  <si>
    <t>Type</t>
  </si>
  <si>
    <t>Update</t>
  </si>
  <si>
    <t>Sal Grade</t>
  </si>
  <si>
    <t>Hrly Rate</t>
  </si>
  <si>
    <t>Shoe Premium</t>
  </si>
  <si>
    <t>Y</t>
  </si>
  <si>
    <t>Last updated 12/10/2024</t>
  </si>
  <si>
    <t>Page 1 of 1</t>
  </si>
  <si>
    <t>IncrPerc2021</t>
  </si>
  <si>
    <t>RatesMay2020</t>
  </si>
  <si>
    <r>
      <t xml:space="preserve">Effective May 1, 2021 </t>
    </r>
    <r>
      <rPr>
        <i/>
        <sz val="10"/>
        <rFont val="Calibri"/>
        <family val="2"/>
        <scheme val="minor"/>
      </rPr>
      <t>(General Increase of 1.50%)</t>
    </r>
  </si>
  <si>
    <t>IncrPerc2022</t>
  </si>
  <si>
    <t>RatesMay2021</t>
  </si>
  <si>
    <r>
      <t xml:space="preserve">Effective May 1, 2022 </t>
    </r>
    <r>
      <rPr>
        <i/>
        <sz val="10"/>
        <rFont val="Calibri"/>
        <family val="2"/>
        <scheme val="minor"/>
      </rPr>
      <t>(General increase of 2.50%)</t>
    </r>
  </si>
  <si>
    <t>IncrPercJan2023</t>
  </si>
  <si>
    <t>RatesMay2022</t>
  </si>
  <si>
    <r>
      <t xml:space="preserve">Effective January 1, 2023 </t>
    </r>
    <r>
      <rPr>
        <i/>
        <sz val="10"/>
        <rFont val="Calibri"/>
        <family val="2"/>
        <scheme val="minor"/>
      </rPr>
      <t>(General increase of 2.5%)</t>
    </r>
  </si>
  <si>
    <t>IncrPercSept2023</t>
  </si>
  <si>
    <t>RatesJan2023</t>
  </si>
  <si>
    <r>
      <t xml:space="preserve">Effective September 1, 2023 </t>
    </r>
    <r>
      <rPr>
        <i/>
        <sz val="10"/>
        <rFont val="Calibri"/>
        <family val="2"/>
        <scheme val="minor"/>
      </rPr>
      <t>(Internal equity adjustment of 0.75%)</t>
    </r>
  </si>
  <si>
    <t>ONOCW - TRC for weekend</t>
  </si>
  <si>
    <t>IncrPercJan2024</t>
  </si>
  <si>
    <t>RatesSept2023</t>
  </si>
  <si>
    <r>
      <t xml:space="preserve">Effective January 1, 2024 </t>
    </r>
    <r>
      <rPr>
        <i/>
        <sz val="10"/>
        <rFont val="Calibri"/>
        <family val="2"/>
        <scheme val="minor"/>
      </rPr>
      <t>(General increase of 4.50%)</t>
    </r>
  </si>
  <si>
    <t>IncrPercSept2024</t>
  </si>
  <si>
    <t>RatesJan2024</t>
  </si>
  <si>
    <r>
      <t xml:space="preserve">Effective September 1, 2024 </t>
    </r>
    <r>
      <rPr>
        <i/>
        <sz val="10"/>
        <rFont val="Calibri"/>
        <family val="2"/>
        <scheme val="minor"/>
      </rPr>
      <t>(General increase of  2.0%, internal equity adjustment of 0.75%)</t>
    </r>
  </si>
  <si>
    <t>Last revised 5/23/2024</t>
  </si>
  <si>
    <t>ONCAL - TRC  for M-F non-holiday</t>
  </si>
  <si>
    <t>these codes are no longer used</t>
  </si>
  <si>
    <t>Previous Effective Date</t>
  </si>
  <si>
    <t>Electricians (CEL) Attachment A</t>
  </si>
  <si>
    <t>Data from</t>
  </si>
  <si>
    <t>Effective</t>
  </si>
  <si>
    <t>General Increase</t>
  </si>
  <si>
    <t>Additional Shoe Allowance</t>
  </si>
  <si>
    <t>Class</t>
  </si>
  <si>
    <t>Salary</t>
  </si>
  <si>
    <t>Welding premium</t>
  </si>
  <si>
    <t>Increase Boot Allowance</t>
  </si>
  <si>
    <t xml:space="preserve">*These classifications are located in the Minneapolis City Supervisor's Union. </t>
  </si>
  <si>
    <t>8. Enter previous tab effective date in K1</t>
  </si>
  <si>
    <t>Internal Equity Adjustment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</si>
  <si>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</si>
  <si>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</si>
  <si>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</si>
  <si>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</si>
  <si>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</si>
  <si>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</si>
  <si>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</si>
  <si>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</si>
  <si>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</si>
  <si>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</si>
  <si>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</si>
  <si>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</si>
  <si>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RatesMarch2019</t>
  </si>
  <si>
    <t>RatesAugust2020</t>
  </si>
  <si>
    <t>Classification
Grade</t>
  </si>
  <si>
    <t>Pay Type</t>
  </si>
  <si>
    <t>Hourly
Rate</t>
  </si>
  <si>
    <t>Date</t>
  </si>
  <si>
    <t>Editor</t>
  </si>
  <si>
    <t>Edits/Comments</t>
  </si>
  <si>
    <t>unknown</t>
  </si>
  <si>
    <t>Effective May 1, 2017: All wage steps, longevity and shift differntial increase 3.0%.  Add new weekend shift differential of $1.35 per hour for working on Saturday or Sunday.  Step progression is allowed.</t>
  </si>
  <si>
    <t>Effective March 3, 2019, all wage steps, longevity and shift differential increase 1.5% over May 1, 2017. Step progression is allowed.</t>
  </si>
  <si>
    <t>Brenda</t>
  </si>
  <si>
    <t>Effective May 1, 2018, all wage steps, longevity and shift differential incrase by 2.5% over March 3, 2019. Step progression is allowed</t>
  </si>
  <si>
    <t>Effective May 1, 2019, all wage steps, longevity and shift differential increase by 2.5% over May 1, 2018. Step progression is allowed</t>
  </si>
  <si>
    <t>Added welding premium to May 1 2018 and 2019</t>
  </si>
  <si>
    <t>May 2019 not approved yet</t>
  </si>
  <si>
    <t>May 1, 2018 – 2.5% wage increase over May 2017, including premiums and longevity</t>
  </si>
  <si>
    <t>March 3, 2019 - 2.5% increase over May 2018 and 1.5% increase over May 2018, including premiums and longevity</t>
  </si>
  <si>
    <t>May 1, 2019 – 2.5% wage increase over March 2019, including premiums and longevity</t>
  </si>
  <si>
    <t>November 1, 2019 - 1.5% increase over May 2019, including premiums and longevity</t>
  </si>
  <si>
    <t>April 30, 2020 - added welder premium of $1.00 and safety show allowance of $0.07 per hour</t>
  </si>
  <si>
    <t>Last Updated April 15, 2025</t>
  </si>
  <si>
    <t>*These classifications are located in the Minneapolis City Supervisor's Union and are updated when the CEL schedule is updated</t>
  </si>
  <si>
    <t>Corrected Boot Allowance &amp; Effective Date</t>
  </si>
  <si>
    <t>Last Updated 4/15/2025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</si>
</sst>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7" formatCode="&quot;$&quot;#,##0.00_);\(&quot;$&quot;#,##0.00\)"/>
    <numFmt numFmtId="43" formatCode="_(* #,##0.00_);_(* \(#,##0.00\);_(* &quot;-&quot;??_);_(@_)"/>
    <numFmt numFmtId="164" formatCode="&quot;$&quot;#,##0.00"/>
    <numFmt numFmtId="165" formatCode="General_)"/>
    <numFmt numFmtId="166" formatCode="0.000"/>
    <numFmt numFmtId="167" formatCode="0.00_)"/>
    <numFmt numFmtId="168" formatCode="#,##0.000"/>
    <numFmt numFmtId="169" formatCode="0.0000"/>
    <numFmt numFmtId="170" formatCode="0.0000_)"/>
    <numFmt numFmtId="171" formatCode="&quot;$&quot;#,##0.000"/>
    <numFmt numFmtId="172" formatCode="[$-409]mmmm\ d\,\ yyyy;@"/>
    <numFmt numFmtId="173" formatCode="&quot;$&quot;#,##0"/>
  </numFmts>
  <fonts count="24" x14ac:knownFonts="1">
    <font>
      <sz val="10"/>
      <name val="Arial"/>
    </font>
    <font>
      <sz val="12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8000"/>
      <name val="Arial"/>
      <family val="2"/>
    </font>
    <font>
      <sz val="10"/>
      <color theme="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9F50B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" fontId="1" fillId="0" borderId="0"/>
    <xf numFmtId="165" fontId="1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3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90">
    <xf numFmtId="0" fontId="0" fillId="0" borderId="0" xfId="0"/>
    <xf numFmtId="0" fontId="4" fillId="0" borderId="0" xfId="0" applyFont="1" applyFill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Fill="1" applyProtection="1">
      <protection hidden="1"/>
    </xf>
    <xf numFmtId="165" fontId="4" fillId="0" borderId="0" xfId="2" applyFont="1" applyFill="1" applyAlignment="1" applyProtection="1">
      <protection hidden="1"/>
    </xf>
    <xf numFmtId="165" fontId="5" fillId="0" borderId="0" xfId="2" applyFont="1" applyFill="1" applyAlignment="1" applyProtection="1">
      <alignment horizontal="left"/>
      <protection hidden="1"/>
    </xf>
    <xf numFmtId="165" fontId="5" fillId="0" borderId="0" xfId="2" applyFont="1" applyFill="1" applyProtection="1">
      <protection hidden="1"/>
    </xf>
    <xf numFmtId="165" fontId="5" fillId="0" borderId="0" xfId="2" applyFont="1" applyFill="1" applyAlignment="1" applyProtection="1">
      <alignment horizontal="center"/>
      <protection hidden="1"/>
    </xf>
    <xf numFmtId="165" fontId="5" fillId="0" borderId="0" xfId="2" applyFont="1" applyFill="1" applyAlignment="1" applyProtection="1">
      <protection hidden="1"/>
    </xf>
    <xf numFmtId="165" fontId="4" fillId="0" borderId="0" xfId="2" applyFont="1" applyFill="1" applyAlignment="1" applyProtection="1">
      <alignment horizontal="left"/>
      <protection hidden="1"/>
    </xf>
    <xf numFmtId="165" fontId="4" fillId="0" borderId="0" xfId="2" applyFont="1" applyFill="1" applyProtection="1">
      <protection hidden="1"/>
    </xf>
    <xf numFmtId="165" fontId="4" fillId="0" borderId="0" xfId="2" applyFont="1" applyFill="1" applyAlignment="1" applyProtection="1">
      <alignment horizontal="center"/>
      <protection hidden="1"/>
    </xf>
    <xf numFmtId="0" fontId="4" fillId="0" borderId="0" xfId="0" applyFont="1" applyFill="1" applyProtection="1">
      <protection hidden="1"/>
    </xf>
    <xf numFmtId="0" fontId="5" fillId="0" borderId="0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164" fontId="5" fillId="0" borderId="0" xfId="0" applyNumberFormat="1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3" fontId="4" fillId="0" borderId="0" xfId="1" applyFont="1" applyFill="1" applyAlignment="1" applyProtection="1">
      <alignment horizontal="center"/>
      <protection hidden="1"/>
    </xf>
    <xf numFmtId="3" fontId="4" fillId="0" borderId="0" xfId="1" applyFont="1" applyFill="1" applyAlignment="1" applyProtection="1">
      <alignment horizontal="left"/>
      <protection hidden="1"/>
    </xf>
    <xf numFmtId="167" fontId="4" fillId="0" borderId="0" xfId="1" applyNumberFormat="1" applyFont="1" applyFill="1" applyAlignment="1" applyProtection="1">
      <alignment horizontal="center"/>
      <protection hidden="1"/>
    </xf>
    <xf numFmtId="3" fontId="5" fillId="0" borderId="0" xfId="1" applyFont="1" applyFill="1" applyProtection="1">
      <protection hidden="1"/>
    </xf>
    <xf numFmtId="3" fontId="5" fillId="0" borderId="0" xfId="1" applyFont="1" applyFill="1" applyAlignment="1" applyProtection="1">
      <alignment horizontal="left"/>
      <protection hidden="1"/>
    </xf>
    <xf numFmtId="3" fontId="6" fillId="0" borderId="0" xfId="1" applyFont="1" applyFill="1" applyAlignment="1" applyProtection="1">
      <alignment horizontal="center"/>
      <protection hidden="1"/>
    </xf>
    <xf numFmtId="3" fontId="7" fillId="0" borderId="0" xfId="1" applyFont="1" applyFill="1" applyAlignment="1" applyProtection="1">
      <alignment horizontal="center"/>
      <protection hidden="1"/>
    </xf>
    <xf numFmtId="3" fontId="5" fillId="0" borderId="0" xfId="1" applyFont="1" applyFill="1" applyAlignment="1" applyProtection="1">
      <alignment horizontal="center"/>
      <protection hidden="1"/>
    </xf>
    <xf numFmtId="167" fontId="8" fillId="0" borderId="0" xfId="1" applyNumberFormat="1" applyFont="1" applyFill="1" applyAlignment="1" applyProtection="1">
      <alignment horizontal="center"/>
      <protection hidden="1"/>
    </xf>
    <xf numFmtId="166" fontId="4" fillId="0" borderId="0" xfId="1" applyNumberFormat="1" applyFont="1" applyFill="1" applyAlignment="1" applyProtection="1">
      <alignment horizontal="center"/>
      <protection hidden="1"/>
    </xf>
    <xf numFmtId="3" fontId="5" fillId="0" borderId="0" xfId="1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2" fontId="4" fillId="0" borderId="0" xfId="1" applyNumberFormat="1" applyFont="1" applyFill="1" applyAlignment="1" applyProtection="1">
      <alignment horizontal="center"/>
      <protection hidden="1"/>
    </xf>
    <xf numFmtId="169" fontId="4" fillId="0" borderId="0" xfId="1" applyNumberFormat="1" applyFont="1" applyFill="1" applyAlignment="1" applyProtection="1">
      <alignment horizontal="center"/>
      <protection hidden="1"/>
    </xf>
    <xf numFmtId="49" fontId="4" fillId="0" borderId="0" xfId="1" applyNumberFormat="1" applyFont="1" applyFill="1" applyAlignment="1" applyProtection="1">
      <alignment horizontal="center"/>
      <protection hidden="1"/>
    </xf>
    <xf numFmtId="168" fontId="4" fillId="0" borderId="0" xfId="1" applyNumberFormat="1" applyFont="1" applyFill="1" applyAlignment="1" applyProtection="1">
      <alignment horizontal="center"/>
      <protection hidden="1"/>
    </xf>
    <xf numFmtId="170" fontId="4" fillId="0" borderId="0" xfId="1" applyNumberFormat="1" applyFont="1" applyFill="1" applyAlignment="1" applyProtection="1">
      <alignment horizontal="center"/>
      <protection hidden="1"/>
    </xf>
    <xf numFmtId="4" fontId="4" fillId="0" borderId="0" xfId="1" applyNumberFormat="1" applyFont="1" applyFill="1" applyAlignment="1" applyProtection="1">
      <alignment horizontal="center"/>
      <protection hidden="1"/>
    </xf>
    <xf numFmtId="3" fontId="4" fillId="0" borderId="2" xfId="1" applyFont="1" applyFill="1" applyBorder="1" applyAlignment="1" applyProtection="1">
      <alignment horizontal="center"/>
      <protection hidden="1"/>
    </xf>
    <xf numFmtId="3" fontId="4" fillId="0" borderId="2" xfId="1" applyFont="1" applyFill="1" applyBorder="1" applyAlignment="1" applyProtection="1">
      <alignment horizontal="left"/>
      <protection hidden="1"/>
    </xf>
    <xf numFmtId="3" fontId="6" fillId="0" borderId="2" xfId="1" applyFont="1" applyFill="1" applyBorder="1" applyAlignment="1" applyProtection="1">
      <alignment horizontal="center"/>
      <protection hidden="1"/>
    </xf>
    <xf numFmtId="3" fontId="4" fillId="0" borderId="2" xfId="1" applyFont="1" applyFill="1" applyBorder="1" applyAlignment="1" applyProtection="1">
      <alignment horizontal="center" wrapText="1"/>
      <protection hidden="1"/>
    </xf>
    <xf numFmtId="14" fontId="0" fillId="0" borderId="0" xfId="0" applyNumberFormat="1"/>
    <xf numFmtId="0" fontId="9" fillId="0" borderId="0" xfId="0" applyFont="1"/>
    <xf numFmtId="49" fontId="5" fillId="0" borderId="0" xfId="1" applyNumberFormat="1" applyFont="1" applyFill="1" applyAlignment="1" applyProtection="1">
      <alignment horizontal="center"/>
      <protection hidden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3" fontId="4" fillId="0" borderId="0" xfId="1" applyFont="1" applyFill="1" applyAlignment="1" applyProtection="1">
      <alignment horizontal="left" indent="1"/>
      <protection hidden="1"/>
    </xf>
    <xf numFmtId="3" fontId="5" fillId="0" borderId="0" xfId="1" applyFont="1" applyFill="1" applyAlignment="1" applyProtection="1">
      <alignment horizontal="left" indent="1"/>
      <protection hidden="1"/>
    </xf>
    <xf numFmtId="3" fontId="5" fillId="3" borderId="0" xfId="1" applyFont="1" applyFill="1" applyAlignment="1" applyProtection="1">
      <alignment horizontal="center"/>
      <protection hidden="1"/>
    </xf>
    <xf numFmtId="171" fontId="5" fillId="3" borderId="0" xfId="1" applyNumberFormat="1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167" fontId="4" fillId="3" borderId="0" xfId="1" applyNumberFormat="1" applyFont="1" applyFill="1" applyAlignment="1" applyProtection="1">
      <alignment horizontal="center"/>
      <protection hidden="1"/>
    </xf>
    <xf numFmtId="167" fontId="8" fillId="3" borderId="0" xfId="1" applyNumberFormat="1" applyFont="1" applyFill="1" applyAlignment="1" applyProtection="1">
      <alignment horizontal="center"/>
      <protection hidden="1"/>
    </xf>
    <xf numFmtId="3" fontId="4" fillId="3" borderId="0" xfId="1" applyFont="1" applyFill="1" applyAlignment="1" applyProtection="1">
      <alignment horizontal="center"/>
      <protection hidden="1"/>
    </xf>
    <xf numFmtId="0" fontId="5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5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171" fontId="4" fillId="3" borderId="0" xfId="1" applyNumberFormat="1" applyFont="1" applyFill="1" applyAlignment="1" applyProtection="1">
      <alignment horizontal="center"/>
      <protection hidden="1"/>
    </xf>
    <xf numFmtId="171" fontId="8" fillId="3" borderId="0" xfId="1" applyNumberFormat="1" applyFont="1" applyFill="1" applyAlignment="1" applyProtection="1">
      <alignment horizontal="center"/>
      <protection hidden="1"/>
    </xf>
    <xf numFmtId="171" fontId="5" fillId="3" borderId="0" xfId="0" applyNumberFormat="1" applyFont="1" applyFill="1" applyBorder="1" applyAlignment="1" applyProtection="1">
      <alignment horizontal="center"/>
      <protection hidden="1"/>
    </xf>
    <xf numFmtId="171" fontId="5" fillId="3" borderId="0" xfId="0" applyNumberFormat="1" applyFont="1" applyFill="1" applyAlignment="1" applyProtection="1">
      <alignment horizontal="center"/>
      <protection hidden="1"/>
    </xf>
    <xf numFmtId="171" fontId="5" fillId="4" borderId="0" xfId="1" applyNumberFormat="1" applyFont="1" applyFill="1" applyAlignment="1" applyProtection="1">
      <alignment horizontal="center"/>
      <protection hidden="1"/>
    </xf>
    <xf numFmtId="3" fontId="5" fillId="3" borderId="0" xfId="1" applyFont="1" applyFill="1" applyProtection="1">
      <protection hidden="1"/>
    </xf>
    <xf numFmtId="3" fontId="5" fillId="3" borderId="0" xfId="1" applyFont="1" applyFill="1" applyAlignment="1" applyProtection="1">
      <alignment horizontal="left" indent="1"/>
      <protection hidden="1"/>
    </xf>
    <xf numFmtId="167" fontId="5" fillId="3" borderId="0" xfId="1" applyNumberFormat="1" applyFont="1" applyFill="1" applyAlignment="1" applyProtection="1">
      <alignment horizontal="center"/>
      <protection hidden="1"/>
    </xf>
    <xf numFmtId="167" fontId="5" fillId="0" borderId="0" xfId="1" applyNumberFormat="1" applyFont="1" applyFill="1" applyAlignment="1" applyProtection="1">
      <alignment horizontal="center"/>
      <protection hidden="1"/>
    </xf>
    <xf numFmtId="169" fontId="5" fillId="0" borderId="0" xfId="1" applyNumberFormat="1" applyFont="1" applyFill="1" applyAlignment="1" applyProtection="1">
      <alignment horizontal="center"/>
      <protection hidden="1"/>
    </xf>
    <xf numFmtId="171" fontId="5" fillId="0" borderId="0" xfId="1" applyNumberFormat="1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left" indent="1"/>
      <protection hidden="1"/>
    </xf>
    <xf numFmtId="171" fontId="5" fillId="5" borderId="0" xfId="1" applyNumberFormat="1" applyFont="1" applyFill="1" applyProtection="1">
      <protection hidden="1"/>
    </xf>
    <xf numFmtId="16" fontId="9" fillId="0" borderId="0" xfId="0" applyNumberFormat="1" applyFont="1" applyAlignment="1">
      <alignment horizontal="justify" vertical="center"/>
    </xf>
    <xf numFmtId="171" fontId="5" fillId="4" borderId="0" xfId="0" applyNumberFormat="1" applyFont="1" applyFill="1" applyAlignment="1" applyProtection="1">
      <alignment horizontal="center"/>
      <protection hidden="1"/>
    </xf>
    <xf numFmtId="3" fontId="4" fillId="0" borderId="0" xfId="1" applyFont="1" applyFill="1" applyProtection="1">
      <protection hidden="1"/>
    </xf>
    <xf numFmtId="9" fontId="0" fillId="0" borderId="0" xfId="0" applyNumberFormat="1"/>
    <xf numFmtId="10" fontId="5" fillId="3" borderId="0" xfId="9" applyNumberFormat="1" applyFont="1" applyFill="1" applyAlignment="1" applyProtection="1">
      <alignment horizontal="center"/>
      <protection hidden="1"/>
    </xf>
    <xf numFmtId="15" fontId="9" fillId="0" borderId="0" xfId="0" applyNumberFormat="1" applyFont="1" applyAlignment="1">
      <alignment horizontal="justify" vertical="center"/>
    </xf>
    <xf numFmtId="3" fontId="5" fillId="6" borderId="0" xfId="1" applyFont="1" applyFill="1" applyProtection="1">
      <protection hidden="1"/>
    </xf>
    <xf numFmtId="0" fontId="0" fillId="0" borderId="0" xfId="0" applyAlignment="1">
      <alignment wrapText="1"/>
    </xf>
    <xf numFmtId="0" fontId="11" fillId="0" borderId="0" xfId="10" applyFont="1"/>
    <xf numFmtId="0" fontId="9" fillId="0" borderId="0" xfId="10"/>
    <xf numFmtId="0" fontId="9" fillId="0" borderId="0" xfId="10" applyAlignment="1">
      <alignment wrapText="1"/>
    </xf>
    <xf numFmtId="0" fontId="11" fillId="0" borderId="3" xfId="10" applyFont="1" applyBorder="1" applyAlignment="1">
      <alignment horizontal="center"/>
    </xf>
    <xf numFmtId="0" fontId="9" fillId="0" borderId="4" xfId="10" applyBorder="1"/>
    <xf numFmtId="0" fontId="9" fillId="0" borderId="3" xfId="10" applyBorder="1"/>
    <xf numFmtId="0" fontId="9" fillId="0" borderId="3" xfId="10" applyBorder="1" applyAlignment="1">
      <alignment horizontal="center"/>
    </xf>
    <xf numFmtId="0" fontId="11" fillId="0" borderId="4" xfId="10" applyFont="1" applyBorder="1"/>
    <xf numFmtId="7" fontId="9" fillId="0" borderId="3" xfId="11" applyNumberFormat="1" applyBorder="1"/>
    <xf numFmtId="43" fontId="11" fillId="0" borderId="3" xfId="11" applyFont="1" applyBorder="1"/>
    <xf numFmtId="0" fontId="9" fillId="0" borderId="3" xfId="10" applyBorder="1" applyAlignment="1">
      <alignment horizontal="center" wrapText="1"/>
    </xf>
    <xf numFmtId="0" fontId="9" fillId="0" borderId="4" xfId="10" applyBorder="1" applyAlignment="1">
      <alignment horizontal="right"/>
    </xf>
    <xf numFmtId="0" fontId="9" fillId="0" borderId="4" xfId="10" applyBorder="1" applyAlignment="1">
      <alignment horizontal="left"/>
    </xf>
    <xf numFmtId="0" fontId="11" fillId="0" borderId="4" xfId="10" applyFont="1" applyBorder="1" applyAlignment="1">
      <alignment horizontal="right"/>
    </xf>
    <xf numFmtId="7" fontId="11" fillId="0" borderId="3" xfId="11" applyNumberFormat="1" applyFont="1" applyBorder="1"/>
    <xf numFmtId="0" fontId="11" fillId="0" borderId="4" xfId="10" applyFont="1" applyBorder="1" applyAlignment="1">
      <alignment horizontal="left"/>
    </xf>
    <xf numFmtId="0" fontId="13" fillId="0" borderId="3" xfId="10" applyFont="1" applyBorder="1" applyAlignment="1">
      <alignment horizontal="center"/>
    </xf>
    <xf numFmtId="7" fontId="9" fillId="0" borderId="3" xfId="10" applyNumberFormat="1" applyBorder="1"/>
    <xf numFmtId="10" fontId="0" fillId="0" borderId="3" xfId="12" applyNumberFormat="1" applyFont="1" applyBorder="1" applyAlignment="1">
      <alignment horizontal="center"/>
    </xf>
    <xf numFmtId="0" fontId="15" fillId="0" borderId="0" xfId="10" applyFont="1" applyAlignment="1">
      <alignment horizontal="left"/>
    </xf>
    <xf numFmtId="0" fontId="14" fillId="0" borderId="0" xfId="10" applyFont="1" applyAlignment="1">
      <alignment horizontal="center"/>
    </xf>
    <xf numFmtId="43" fontId="16" fillId="0" borderId="0" xfId="11" applyFont="1"/>
    <xf numFmtId="0" fontId="17" fillId="0" borderId="0" xfId="10" applyFont="1"/>
    <xf numFmtId="7" fontId="9" fillId="0" borderId="0" xfId="11" applyNumberFormat="1"/>
    <xf numFmtId="43" fontId="9" fillId="0" borderId="0" xfId="10" applyNumberFormat="1"/>
    <xf numFmtId="7" fontId="9" fillId="0" borderId="2" xfId="11" applyNumberFormat="1" applyBorder="1"/>
    <xf numFmtId="43" fontId="9" fillId="0" borderId="0" xfId="11"/>
    <xf numFmtId="171" fontId="18" fillId="0" borderId="3" xfId="11" applyNumberFormat="1" applyFont="1" applyBorder="1"/>
    <xf numFmtId="171" fontId="19" fillId="0" borderId="0" xfId="10" applyNumberFormat="1" applyFont="1"/>
    <xf numFmtId="7" fontId="19" fillId="0" borderId="3" xfId="11" applyNumberFormat="1" applyFont="1" applyBorder="1"/>
    <xf numFmtId="7" fontId="19" fillId="0" borderId="0" xfId="11" applyNumberFormat="1" applyFont="1"/>
    <xf numFmtId="7" fontId="9" fillId="0" borderId="0" xfId="11" applyNumberFormat="1" applyFont="1"/>
    <xf numFmtId="164" fontId="5" fillId="3" borderId="0" xfId="1" applyNumberFormat="1" applyFont="1" applyFill="1" applyAlignment="1" applyProtection="1">
      <alignment horizontal="center"/>
      <protection hidden="1"/>
    </xf>
    <xf numFmtId="2" fontId="4" fillId="0" borderId="0" xfId="1" applyNumberFormat="1" applyFont="1" applyAlignment="1" applyProtection="1">
      <alignment horizontal="center"/>
      <protection hidden="1"/>
    </xf>
    <xf numFmtId="3" fontId="20" fillId="3" borderId="0" xfId="1" applyFont="1" applyFill="1" applyAlignment="1" applyProtection="1">
      <alignment horizontal="center"/>
      <protection hidden="1"/>
    </xf>
    <xf numFmtId="171" fontId="20" fillId="3" borderId="0" xfId="1" applyNumberFormat="1" applyFont="1" applyFill="1" applyAlignment="1" applyProtection="1">
      <alignment horizontal="center"/>
      <protection hidden="1"/>
    </xf>
    <xf numFmtId="3" fontId="20" fillId="3" borderId="0" xfId="1" applyFont="1" applyFill="1" applyProtection="1">
      <protection hidden="1"/>
    </xf>
    <xf numFmtId="167" fontId="20" fillId="3" borderId="0" xfId="1" applyNumberFormat="1" applyFont="1" applyFill="1" applyAlignment="1" applyProtection="1">
      <alignment horizontal="center"/>
      <protection hidden="1"/>
    </xf>
    <xf numFmtId="10" fontId="20" fillId="3" borderId="0" xfId="9" applyNumberFormat="1" applyFont="1" applyFill="1" applyAlignment="1" applyProtection="1">
      <alignment horizontal="center"/>
      <protection hidden="1"/>
    </xf>
    <xf numFmtId="17" fontId="9" fillId="0" borderId="0" xfId="0" applyNumberFormat="1" applyFont="1"/>
    <xf numFmtId="171" fontId="5" fillId="3" borderId="0" xfId="1" applyNumberFormat="1" applyFont="1" applyFill="1" applyProtection="1">
      <protection hidden="1"/>
    </xf>
    <xf numFmtId="3" fontId="5" fillId="7" borderId="0" xfId="1" applyFont="1" applyFill="1" applyAlignment="1" applyProtection="1">
      <alignment horizontal="left"/>
      <protection hidden="1"/>
    </xf>
    <xf numFmtId="10" fontId="5" fillId="7" borderId="0" xfId="9" applyNumberFormat="1" applyFont="1" applyFill="1" applyAlignment="1" applyProtection="1">
      <alignment horizontal="center"/>
      <protection hidden="1"/>
    </xf>
    <xf numFmtId="3" fontId="5" fillId="7" borderId="0" xfId="1" applyFont="1" applyFill="1" applyAlignment="1" applyProtection="1">
      <alignment horizontal="center"/>
      <protection hidden="1"/>
    </xf>
    <xf numFmtId="3" fontId="20" fillId="7" borderId="0" xfId="1" applyFont="1" applyFill="1" applyAlignment="1" applyProtection="1">
      <alignment horizontal="center"/>
      <protection hidden="1"/>
    </xf>
    <xf numFmtId="171" fontId="20" fillId="7" borderId="0" xfId="1" applyNumberFormat="1" applyFont="1" applyFill="1" applyAlignment="1" applyProtection="1">
      <alignment horizontal="center"/>
      <protection hidden="1"/>
    </xf>
    <xf numFmtId="3" fontId="5" fillId="7" borderId="0" xfId="1" applyFont="1" applyFill="1" applyProtection="1">
      <protection hidden="1"/>
    </xf>
    <xf numFmtId="167" fontId="5" fillId="7" borderId="0" xfId="1" applyNumberFormat="1" applyFont="1" applyFill="1" applyAlignment="1" applyProtection="1">
      <alignment horizontal="center"/>
      <protection hidden="1"/>
    </xf>
    <xf numFmtId="167" fontId="20" fillId="7" borderId="0" xfId="1" applyNumberFormat="1" applyFont="1" applyFill="1" applyAlignment="1" applyProtection="1">
      <alignment horizontal="center"/>
      <protection hidden="1"/>
    </xf>
    <xf numFmtId="10" fontId="20" fillId="7" borderId="0" xfId="9" applyNumberFormat="1" applyFont="1" applyFill="1" applyAlignment="1" applyProtection="1">
      <alignment horizontal="center"/>
      <protection hidden="1"/>
    </xf>
    <xf numFmtId="171" fontId="5" fillId="7" borderId="0" xfId="1" applyNumberFormat="1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center"/>
      <protection hidden="1"/>
    </xf>
    <xf numFmtId="171" fontId="5" fillId="7" borderId="0" xfId="0" applyNumberFormat="1" applyFont="1" applyFill="1" applyAlignment="1" applyProtection="1">
      <alignment horizontal="center"/>
      <protection hidden="1"/>
    </xf>
    <xf numFmtId="171" fontId="5" fillId="7" borderId="0" xfId="0" applyNumberFormat="1" applyFont="1" applyFill="1" applyBorder="1" applyAlignment="1" applyProtection="1">
      <alignment horizontal="center"/>
      <protection hidden="1"/>
    </xf>
    <xf numFmtId="0" fontId="5" fillId="7" borderId="0" xfId="0" applyFont="1" applyFill="1" applyBorder="1" applyAlignment="1" applyProtection="1">
      <alignment horizontal="center"/>
      <protection hidden="1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171" fontId="5" fillId="7" borderId="0" xfId="1" applyNumberFormat="1" applyFont="1" applyFill="1" applyProtection="1">
      <protection hidden="1"/>
    </xf>
    <xf numFmtId="167" fontId="5" fillId="7" borderId="2" xfId="1" applyNumberFormat="1" applyFont="1" applyFill="1" applyBorder="1" applyAlignment="1" applyProtection="1">
      <alignment horizontal="center"/>
      <protection hidden="1"/>
    </xf>
    <xf numFmtId="167" fontId="5" fillId="7" borderId="2" xfId="1" applyNumberFormat="1" applyFont="1" applyFill="1" applyBorder="1" applyAlignment="1" applyProtection="1">
      <alignment horizontal="left"/>
      <protection hidden="1"/>
    </xf>
    <xf numFmtId="171" fontId="5" fillId="7" borderId="2" xfId="1" applyNumberFormat="1" applyFont="1" applyFill="1" applyBorder="1" applyAlignment="1" applyProtection="1">
      <alignment horizontal="center"/>
      <protection hidden="1"/>
    </xf>
    <xf numFmtId="3" fontId="5" fillId="7" borderId="2" xfId="1" applyFont="1" applyFill="1" applyBorder="1" applyProtection="1">
      <protection hidden="1"/>
    </xf>
    <xf numFmtId="167" fontId="5" fillId="3" borderId="2" xfId="1" applyNumberFormat="1" applyFont="1" applyFill="1" applyBorder="1" applyAlignment="1" applyProtection="1">
      <alignment horizontal="center"/>
      <protection hidden="1"/>
    </xf>
    <xf numFmtId="167" fontId="5" fillId="3" borderId="2" xfId="1" applyNumberFormat="1" applyFont="1" applyFill="1" applyBorder="1" applyAlignment="1" applyProtection="1">
      <alignment horizontal="left"/>
      <protection hidden="1"/>
    </xf>
    <xf numFmtId="171" fontId="5" fillId="3" borderId="2" xfId="1" applyNumberFormat="1" applyFont="1" applyFill="1" applyBorder="1" applyAlignment="1" applyProtection="1">
      <alignment horizontal="center"/>
      <protection hidden="1"/>
    </xf>
    <xf numFmtId="3" fontId="4" fillId="0" borderId="0" xfId="1" applyFont="1" applyFill="1" applyAlignment="1" applyProtection="1">
      <alignment horizontal="center" wrapText="1"/>
      <protection hidden="1"/>
    </xf>
    <xf numFmtId="171" fontId="5" fillId="0" borderId="0" xfId="1" applyNumberFormat="1" applyFont="1" applyFill="1" applyAlignment="1" applyProtection="1">
      <alignment horizontal="left" indent="1"/>
      <protection hidden="1"/>
    </xf>
    <xf numFmtId="171" fontId="5" fillId="7" borderId="0" xfId="1" applyNumberFormat="1" applyFont="1" applyFill="1" applyAlignment="1" applyProtection="1">
      <alignment horizontal="left"/>
      <protection hidden="1"/>
    </xf>
    <xf numFmtId="171" fontId="5" fillId="3" borderId="0" xfId="1" applyNumberFormat="1" applyFont="1" applyFill="1" applyAlignment="1" applyProtection="1">
      <alignment horizontal="left"/>
      <protection hidden="1"/>
    </xf>
    <xf numFmtId="3" fontId="5" fillId="8" borderId="0" xfId="1" applyFont="1" applyFill="1" applyProtection="1">
      <protection hidden="1"/>
    </xf>
    <xf numFmtId="0" fontId="5" fillId="8" borderId="0" xfId="0" applyFont="1" applyFill="1" applyProtection="1">
      <protection hidden="1"/>
    </xf>
    <xf numFmtId="0" fontId="0" fillId="7" borderId="0" xfId="0" applyFill="1"/>
    <xf numFmtId="0" fontId="5" fillId="8" borderId="0" xfId="0" applyFont="1" applyFill="1" applyAlignment="1" applyProtection="1">
      <alignment horizontal="center"/>
      <protection hidden="1"/>
    </xf>
    <xf numFmtId="172" fontId="4" fillId="0" borderId="0" xfId="1" applyNumberFormat="1" applyFont="1" applyFill="1" applyAlignment="1" applyProtection="1">
      <alignment horizontal="left"/>
      <protection hidden="1"/>
    </xf>
    <xf numFmtId="10" fontId="4" fillId="0" borderId="0" xfId="9" applyNumberFormat="1" applyFont="1" applyFill="1" applyAlignment="1" applyProtection="1">
      <alignment horizontal="right"/>
      <protection hidden="1"/>
    </xf>
    <xf numFmtId="10" fontId="4" fillId="0" borderId="0" xfId="9" applyNumberFormat="1" applyFont="1" applyFill="1" applyProtection="1">
      <protection hidden="1"/>
    </xf>
    <xf numFmtId="167" fontId="4" fillId="7" borderId="0" xfId="1" applyNumberFormat="1" applyFont="1" applyFill="1" applyAlignment="1" applyProtection="1">
      <alignment horizontal="center"/>
      <protection hidden="1"/>
    </xf>
    <xf numFmtId="167" fontId="5" fillId="9" borderId="0" xfId="1" applyNumberFormat="1" applyFont="1" applyFill="1" applyAlignment="1" applyProtection="1">
      <alignment horizontal="center"/>
      <protection hidden="1"/>
    </xf>
    <xf numFmtId="167" fontId="5" fillId="9" borderId="0" xfId="1" applyNumberFormat="1" applyFont="1" applyFill="1" applyAlignment="1" applyProtection="1">
      <alignment horizontal="left"/>
      <protection hidden="1"/>
    </xf>
    <xf numFmtId="3" fontId="5" fillId="9" borderId="0" xfId="1" applyFont="1" applyFill="1" applyAlignment="1" applyProtection="1">
      <alignment horizontal="left"/>
      <protection hidden="1"/>
    </xf>
    <xf numFmtId="167" fontId="4" fillId="7" borderId="2" xfId="1" applyNumberFormat="1" applyFont="1" applyFill="1" applyBorder="1" applyAlignment="1" applyProtection="1">
      <alignment horizontal="center"/>
      <protection hidden="1"/>
    </xf>
    <xf numFmtId="167" fontId="4" fillId="7" borderId="2" xfId="1" applyNumberFormat="1" applyFont="1" applyFill="1" applyBorder="1" applyAlignment="1" applyProtection="1">
      <alignment horizontal="left"/>
      <protection hidden="1"/>
    </xf>
    <xf numFmtId="171" fontId="4" fillId="7" borderId="2" xfId="1" applyNumberFormat="1" applyFont="1" applyFill="1" applyBorder="1" applyAlignment="1" applyProtection="1">
      <alignment horizontal="center"/>
      <protection hidden="1"/>
    </xf>
    <xf numFmtId="3" fontId="4" fillId="7" borderId="2" xfId="1" applyFont="1" applyFill="1" applyBorder="1" applyProtection="1">
      <protection hidden="1"/>
    </xf>
    <xf numFmtId="167" fontId="4" fillId="3" borderId="2" xfId="1" applyNumberFormat="1" applyFont="1" applyFill="1" applyBorder="1" applyAlignment="1" applyProtection="1">
      <alignment horizontal="center"/>
      <protection hidden="1"/>
    </xf>
    <xf numFmtId="167" fontId="4" fillId="3" borderId="2" xfId="1" applyNumberFormat="1" applyFont="1" applyFill="1" applyBorder="1" applyAlignment="1" applyProtection="1">
      <alignment horizontal="left"/>
      <protection hidden="1"/>
    </xf>
    <xf numFmtId="171" fontId="4" fillId="3" borderId="2" xfId="1" applyNumberFormat="1" applyFont="1" applyFill="1" applyBorder="1" applyAlignment="1" applyProtection="1">
      <alignment horizontal="center"/>
      <protection hidden="1"/>
    </xf>
    <xf numFmtId="3" fontId="4" fillId="3" borderId="0" xfId="1" applyFont="1" applyFill="1" applyProtection="1">
      <protection hidden="1"/>
    </xf>
    <xf numFmtId="3" fontId="5" fillId="9" borderId="0" xfId="1" applyFont="1" applyFill="1" applyProtection="1">
      <protection hidden="1"/>
    </xf>
    <xf numFmtId="171" fontId="5" fillId="9" borderId="0" xfId="0" applyNumberFormat="1" applyFont="1" applyFill="1" applyAlignment="1" applyProtection="1">
      <alignment horizontal="center"/>
      <protection hidden="1"/>
    </xf>
    <xf numFmtId="3" fontId="5" fillId="10" borderId="0" xfId="1" applyFont="1" applyFill="1" applyProtection="1">
      <protection hidden="1"/>
    </xf>
    <xf numFmtId="3" fontId="5" fillId="10" borderId="0" xfId="1" applyFont="1" applyFill="1" applyAlignment="1" applyProtection="1">
      <alignment horizontal="center"/>
      <protection hidden="1"/>
    </xf>
    <xf numFmtId="171" fontId="5" fillId="10" borderId="0" xfId="1" applyNumberFormat="1" applyFont="1" applyFill="1" applyAlignment="1" applyProtection="1">
      <alignment horizontal="center"/>
      <protection hidden="1"/>
    </xf>
    <xf numFmtId="171" fontId="5" fillId="9" borderId="0" xfId="1" applyNumberFormat="1" applyFont="1" applyFill="1" applyProtection="1">
      <protection hidden="1"/>
    </xf>
    <xf numFmtId="10" fontId="5" fillId="7" borderId="0" xfId="9" applyNumberFormat="1" applyFont="1" applyFill="1" applyAlignment="1" applyProtection="1">
      <alignment horizontal="left"/>
      <protection hidden="1"/>
    </xf>
    <xf numFmtId="14" fontId="5" fillId="7" borderId="0" xfId="1" applyNumberFormat="1" applyFont="1" applyFill="1" applyAlignment="1" applyProtection="1">
      <alignment horizontal="left"/>
      <protection hidden="1"/>
    </xf>
    <xf numFmtId="0" fontId="11" fillId="0" borderId="0" xfId="10" applyFont="1" applyAlignment="1">
      <alignment horizontal="left" wrapText="1"/>
    </xf>
    <xf numFmtId="0" fontId="9" fillId="0" borderId="0" xfId="10" applyAlignment="1">
      <alignment horizontal="right"/>
    </xf>
    <xf numFmtId="0" fontId="5" fillId="7" borderId="0" xfId="0" applyFont="1" applyFill="1" applyAlignment="1" applyProtection="1">
      <alignment horizontal="left"/>
      <protection hidden="1"/>
    </xf>
    <xf numFmtId="167" fontId="5" fillId="7" borderId="0" xfId="1" applyNumberFormat="1" applyFont="1" applyFill="1" applyAlignment="1" applyProtection="1">
      <alignment horizontal="left"/>
      <protection hidden="1"/>
    </xf>
    <xf numFmtId="0" fontId="5" fillId="10" borderId="0" xfId="0" applyFont="1" applyFill="1" applyAlignment="1" applyProtection="1">
      <alignment horizontal="left"/>
      <protection hidden="1"/>
    </xf>
    <xf numFmtId="0" fontId="11" fillId="0" borderId="0" xfId="10" applyFont="1" applyAlignment="1">
      <alignment horizontal="left" wrapText="1"/>
    </xf>
    <xf numFmtId="0" fontId="14" fillId="0" borderId="4" xfId="10" applyFont="1" applyBorder="1" applyAlignment="1">
      <alignment horizontal="left" wrapText="1"/>
    </xf>
    <xf numFmtId="0" fontId="14" fillId="0" borderId="5" xfId="10" applyFont="1" applyBorder="1" applyAlignment="1">
      <alignment horizontal="left" wrapText="1"/>
    </xf>
    <xf numFmtId="0" fontId="14" fillId="0" borderId="6" xfId="10" applyFont="1" applyBorder="1" applyAlignment="1">
      <alignment horizontal="left" wrapText="1"/>
    </xf>
    <xf numFmtId="0" fontId="9" fillId="0" borderId="0" xfId="10" applyAlignment="1">
      <alignment horizontal="right"/>
    </xf>
    <xf numFmtId="0" fontId="5" fillId="7" borderId="0" xfId="0" applyFont="1" applyFill="1" applyAlignment="1" applyProtection="1">
      <alignment horizontal="left"/>
      <protection hidden="1"/>
    </xf>
    <xf numFmtId="173" fontId="5" fillId="7" borderId="0" xfId="1" applyNumberFormat="1" applyFont="1" applyFill="1" applyAlignment="1" applyProtection="1">
      <alignment horizontal="left"/>
      <protection hidden="1"/>
    </xf>
    <xf numFmtId="167" fontId="5" fillId="7" borderId="0" xfId="1" applyNumberFormat="1" applyFont="1" applyFill="1" applyAlignment="1" applyProtection="1">
      <alignment horizontal="left"/>
      <protection hidden="1"/>
    </xf>
    <xf numFmtId="0" fontId="5" fillId="10" borderId="0" xfId="0" applyFont="1" applyFill="1" applyAlignment="1" applyProtection="1">
      <alignment horizontal="left"/>
      <protection hidden="1"/>
    </xf>
    <xf numFmtId="173" fontId="5" fillId="10" borderId="0" xfId="1" applyNumberFormat="1" applyFont="1" applyFill="1" applyAlignment="1" applyProtection="1">
      <alignment horizontal="left"/>
      <protection hidden="1"/>
    </xf>
    <xf numFmtId="167" fontId="5" fillId="10" borderId="0" xfId="1" applyNumberFormat="1" applyFont="1" applyFill="1" applyAlignment="1" applyProtection="1">
      <alignment horizontal="left"/>
      <protection hidden="1"/>
    </xf>
  </cellXfs>
  <cellStyles count="13">
    <cellStyle name="Comma 2" xfId="11" xr:uid="{963BBDC0-97BC-4B03-B83C-68DB31866F74}"/>
    <cellStyle name="Normal" xfId="0" builtinId="0"/>
    <cellStyle name="Normal 2" xfId="10" xr:uid="{3CB713EA-4010-4F4E-A10C-BF6B7B0085E8}"/>
    <cellStyle name="Normal_1998SalOrd" xfId="2" xr:uid="{00000000-0005-0000-0000-000001000000}"/>
    <cellStyle name="Normal_CELORD01" xfId="1" xr:uid="{00000000-0005-0000-0000-000002000000}"/>
    <cellStyle name="Percent" xfId="9" builtinId="5"/>
    <cellStyle name="Percent 2" xfId="12" xr:uid="{0D7CAC88-4A04-4355-B269-F3D9B1A4FE2A}"/>
    <cellStyle name="PSChar" xfId="3" xr:uid="{00000000-0005-0000-0000-000003000000}"/>
    <cellStyle name="PSDate" xfId="4" xr:uid="{00000000-0005-0000-0000-000004000000}"/>
    <cellStyle name="PSDec" xfId="5" xr:uid="{00000000-0005-0000-0000-000005000000}"/>
    <cellStyle name="PSHeading" xfId="6" xr:uid="{00000000-0005-0000-0000-000006000000}"/>
    <cellStyle name="PSInt" xfId="7" xr:uid="{00000000-0005-0000-0000-000007000000}"/>
    <cellStyle name="PSSpacer" xfId="8" xr:uid="{00000000-0005-0000-0000-000008000000}"/>
  </cellStyles>
  <dxfs count="0"/>
  <tableStyles count="1" defaultTableStyle="TableStyleMedium2" defaultPivotStyle="PivotStyleLight16">
    <tableStyle name="Invisible" pivot="0" table="0" count="0" xr9:uid="{4F5A0C53-1C46-4ECC-AC35-20FCAB256F31}"/>
  </tableStyles>
  <colors>
    <mruColors>
      <color rgb="FF59F50B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581026</xdr:colOff>
      <xdr:row>4</xdr:row>
      <xdr:rowOff>76199</xdr:rowOff>
    </xdr:from>
    <xdr:ext cx="1800224" cy="112569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75119F3-CC32-432F-A9AB-2106688595A4}"/>
            </a:ext>
          </a:extLst>
        </xdr:cNvPr>
        <xdr:cNvSpPr txBox="1"/>
      </xdr:nvSpPr>
      <xdr:spPr>
        <a:xfrm>
          <a:off x="10277476" y="723899"/>
          <a:ext cx="1800224" cy="1125693"/>
        </a:xfrm>
        <a:prstGeom prst="rect">
          <a:avLst/>
        </a:prstGeom>
        <a:solidFill>
          <a:schemeClr val="accent6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These are not the true May 2017 rates - these were reset as a baseline to apply increase percentages to in order to calculate</a:t>
          </a:r>
          <a:r>
            <a:rPr lang="en-US" sz="1100" baseline="0"/>
            <a:t> May 2018 rates.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285750</xdr:colOff>
      <xdr:row>2</xdr:row>
      <xdr:rowOff>76200</xdr:rowOff>
    </xdr:from>
    <xdr:to>
      <xdr:col>18</xdr:col>
      <xdr:colOff>466725</xdr:colOff>
      <xdr:row>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0C511F-AE60-4FCE-B95D-A8A4C13E0634}"/>
            </a:ext>
          </a:extLst>
        </xdr:cNvPr>
        <xdr:cNvSpPr txBox="1"/>
      </xdr:nvSpPr>
      <xdr:spPr>
        <a:xfrm>
          <a:off x="13763625" y="400050"/>
          <a:ext cx="1704975" cy="1057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Per Dave Prehall's file, there is no March 2019 change.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2790824</xdr:colOff>
      <xdr:row>1</xdr:row>
      <xdr:rowOff>142875</xdr:rowOff>
    </xdr:from>
    <xdr:to>
      <xdr:col>12</xdr:col>
      <xdr:colOff>504825</xdr:colOff>
      <xdr:row>5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E41DA7-6BE8-7784-D9E0-97E833AA703B}"/>
            </a:ext>
          </a:extLst>
        </xdr:cNvPr>
        <xdr:cNvSpPr txBox="1"/>
      </xdr:nvSpPr>
      <xdr:spPr>
        <a:xfrm>
          <a:off x="4933949" y="142875"/>
          <a:ext cx="4105276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 General Increase percentage title was</a:t>
          </a:r>
          <a:r>
            <a:rPr lang="en-US" sz="1100" baseline="0"/>
            <a:t> changed 5/23/2024 to accurately reflect the 2.0% increase per the agreement. There were no changes to the rates as they were correctly calculated using 2.0%.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8</xdr:row>
      <xdr:rowOff>19050</xdr:rowOff>
    </xdr:from>
    <xdr:to>
      <xdr:col>9</xdr:col>
      <xdr:colOff>354369</xdr:colOff>
      <xdr:row>23</xdr:row>
      <xdr:rowOff>59484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49A93B-374A-4699-B795-A04B6A88F91C}"/>
            </a:ext>
          </a:extLst>
        </xdr:cNvPr>
        <xdr:cNvSpPr txBox="1"/>
      </xdr:nvSpPr>
      <xdr:spPr>
        <a:xfrm>
          <a:off x="8143875" y="1314450"/>
          <a:ext cx="2268894" cy="2469309"/>
        </a:xfrm>
        <a:prstGeom prst="rect">
          <a:avLst/>
        </a:prstGeom>
        <a:solidFill>
          <a:srgbClr val="8BF52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Create a copy of the previous workbook.</a:t>
          </a:r>
        </a:p>
        <a:p>
          <a:r>
            <a:rPr lang="en-US" sz="1100"/>
            <a:t>To create a new tab:</a:t>
          </a:r>
        </a:p>
        <a:p>
          <a:r>
            <a:rPr lang="en-US" sz="1100"/>
            <a:t>1. Right click on last tab</a:t>
          </a:r>
        </a:p>
        <a:p>
          <a:r>
            <a:rPr lang="en-US" sz="1100"/>
            <a:t>2. Select "Move or Copy"</a:t>
          </a:r>
        </a:p>
        <a:p>
          <a:r>
            <a:rPr lang="en-US" sz="1100"/>
            <a:t>3. In "Before Sheet" select "Move to End"</a:t>
          </a:r>
        </a:p>
        <a:p>
          <a:r>
            <a:rPr lang="en-US" sz="1100"/>
            <a:t>4. Click "Create Copy"</a:t>
          </a:r>
        </a:p>
        <a:p>
          <a:r>
            <a:rPr lang="en-US" sz="1100"/>
            <a:t>5. Click "OK"</a:t>
          </a:r>
        </a:p>
        <a:p>
          <a:r>
            <a:rPr lang="en-US" sz="1100"/>
            <a:t>6. Change tab name to new effective date in the format M/D/YYYY</a:t>
          </a:r>
        </a:p>
        <a:p>
          <a:r>
            <a:rPr lang="en-US" sz="1100"/>
            <a:t>7. Proceed to item 8 on the new tab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8</xdr:row>
      <xdr:rowOff>19050</xdr:rowOff>
    </xdr:from>
    <xdr:to>
      <xdr:col>9</xdr:col>
      <xdr:colOff>354369</xdr:colOff>
      <xdr:row>23</xdr:row>
      <xdr:rowOff>59484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C53C99-3D0C-4913-8529-27230B2719A4}"/>
            </a:ext>
          </a:extLst>
        </xdr:cNvPr>
        <xdr:cNvSpPr txBox="1"/>
      </xdr:nvSpPr>
      <xdr:spPr>
        <a:xfrm>
          <a:off x="9648825" y="1390650"/>
          <a:ext cx="2449869" cy="2612184"/>
        </a:xfrm>
        <a:prstGeom prst="rect">
          <a:avLst/>
        </a:prstGeom>
        <a:solidFill>
          <a:srgbClr val="8BF52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Create a copy of the previous workbook.</a:t>
          </a:r>
        </a:p>
        <a:p>
          <a:r>
            <a:rPr lang="en-US" sz="1100"/>
            <a:t>To create a new tab:</a:t>
          </a:r>
        </a:p>
        <a:p>
          <a:r>
            <a:rPr lang="en-US" sz="1100"/>
            <a:t>1. Right click on last tab</a:t>
          </a:r>
        </a:p>
        <a:p>
          <a:r>
            <a:rPr lang="en-US" sz="1100"/>
            <a:t>2. Select "Move or Copy"</a:t>
          </a:r>
        </a:p>
        <a:p>
          <a:r>
            <a:rPr lang="en-US" sz="1100"/>
            <a:t>3. In "Before Sheet" select "Move to End"</a:t>
          </a:r>
        </a:p>
        <a:p>
          <a:r>
            <a:rPr lang="en-US" sz="1100"/>
            <a:t>4. Click "Create Copy"</a:t>
          </a:r>
        </a:p>
        <a:p>
          <a:r>
            <a:rPr lang="en-US" sz="1100"/>
            <a:t>5. Click "OK"</a:t>
          </a:r>
        </a:p>
        <a:p>
          <a:r>
            <a:rPr lang="en-US" sz="1100"/>
            <a:t>6. Change tab name to new effective date in the format M/D/YYYY</a:t>
          </a:r>
        </a:p>
        <a:p>
          <a:r>
            <a:rPr lang="en-US" sz="1100"/>
            <a:t>7. Proceed to item 8 on the new tab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gnotk0\Local%20Settings\Temporary%20Internet%20Files\OLK57\CELxscost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 CBT"/>
      <sheetName val="Outside rate comp"/>
      <sheetName val="CEL2004"/>
      <sheetName val="Pension $"/>
      <sheetName val="Sick and Severence"/>
      <sheetName val="Hours worked"/>
      <sheetName val="MERF 2004 levy"/>
      <sheetName val="Emp List CEL 05-17-04"/>
      <sheetName val="2004 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7499-5880-479D-A0CC-38BE82773573}">
  <sheetPr>
    <pageSetUpPr fitToPage="1"/>
  </sheetPr>
  <dimension ref="A1:G52"/>
  <sheetViews>
    <sheetView topLeftCell="A10" zoomScale="150" workbookViewId="0">
      <pane xSplit="2" topLeftCell="C1" activePane="topRight" state="frozen"/>
      <selection pane="topRight" activeCell="A35" sqref="A35"/>
    </sheetView>
  </sheetViews>
  <sheetFormatPr defaultRowHeight="12.7" x14ac:dyDescent="0.4"/>
  <cols>
    <col min="1" max="1" width="28.41015625" style="79" customWidth="1"/>
    <col min="2" max="2" width="22.5859375" style="79" bestFit="1" customWidth="1"/>
    <col min="3" max="4" width="11.1171875" style="79" bestFit="1" customWidth="1"/>
    <col min="5" max="5" width="9.29296875" style="79" bestFit="1" customWidth="1"/>
    <col min="6" max="6" width="17" style="79" customWidth="1"/>
    <col min="7" max="256" width="9.1171875" style="79"/>
    <col min="257" max="257" width="28.41015625" style="79" customWidth="1"/>
    <col min="258" max="258" width="17.87890625" style="79" customWidth="1"/>
    <col min="259" max="260" width="16.703125" style="79" customWidth="1"/>
    <col min="261" max="261" width="9.29296875" style="79" bestFit="1" customWidth="1"/>
    <col min="262" max="262" width="17" style="79" customWidth="1"/>
    <col min="263" max="512" width="9.1171875" style="79"/>
    <col min="513" max="513" width="28.41015625" style="79" customWidth="1"/>
    <col min="514" max="514" width="17.87890625" style="79" customWidth="1"/>
    <col min="515" max="516" width="16.703125" style="79" customWidth="1"/>
    <col min="517" max="517" width="9.29296875" style="79" bestFit="1" customWidth="1"/>
    <col min="518" max="518" width="17" style="79" customWidth="1"/>
    <col min="519" max="768" width="9.1171875" style="79"/>
    <col min="769" max="769" width="28.41015625" style="79" customWidth="1"/>
    <col min="770" max="770" width="17.87890625" style="79" customWidth="1"/>
    <col min="771" max="772" width="16.703125" style="79" customWidth="1"/>
    <col min="773" max="773" width="9.29296875" style="79" bestFit="1" customWidth="1"/>
    <col min="774" max="774" width="17" style="79" customWidth="1"/>
    <col min="775" max="1024" width="9.1171875" style="79"/>
    <col min="1025" max="1025" width="28.41015625" style="79" customWidth="1"/>
    <col min="1026" max="1026" width="17.87890625" style="79" customWidth="1"/>
    <col min="1027" max="1028" width="16.703125" style="79" customWidth="1"/>
    <col min="1029" max="1029" width="9.29296875" style="79" bestFit="1" customWidth="1"/>
    <col min="1030" max="1030" width="17" style="79" customWidth="1"/>
    <col min="1031" max="1280" width="9.1171875" style="79"/>
    <col min="1281" max="1281" width="28.41015625" style="79" customWidth="1"/>
    <col min="1282" max="1282" width="17.87890625" style="79" customWidth="1"/>
    <col min="1283" max="1284" width="16.703125" style="79" customWidth="1"/>
    <col min="1285" max="1285" width="9.29296875" style="79" bestFit="1" customWidth="1"/>
    <col min="1286" max="1286" width="17" style="79" customWidth="1"/>
    <col min="1287" max="1536" width="9.1171875" style="79"/>
    <col min="1537" max="1537" width="28.41015625" style="79" customWidth="1"/>
    <col min="1538" max="1538" width="17.87890625" style="79" customWidth="1"/>
    <col min="1539" max="1540" width="16.703125" style="79" customWidth="1"/>
    <col min="1541" max="1541" width="9.29296875" style="79" bestFit="1" customWidth="1"/>
    <col min="1542" max="1542" width="17" style="79" customWidth="1"/>
    <col min="1543" max="1792" width="9.1171875" style="79"/>
    <col min="1793" max="1793" width="28.41015625" style="79" customWidth="1"/>
    <col min="1794" max="1794" width="17.87890625" style="79" customWidth="1"/>
    <col min="1795" max="1796" width="16.703125" style="79" customWidth="1"/>
    <col min="1797" max="1797" width="9.29296875" style="79" bestFit="1" customWidth="1"/>
    <col min="1798" max="1798" width="17" style="79" customWidth="1"/>
    <col min="1799" max="2048" width="9.1171875" style="79"/>
    <col min="2049" max="2049" width="28.41015625" style="79" customWidth="1"/>
    <col min="2050" max="2050" width="17.87890625" style="79" customWidth="1"/>
    <col min="2051" max="2052" width="16.703125" style="79" customWidth="1"/>
    <col min="2053" max="2053" width="9.29296875" style="79" bestFit="1" customWidth="1"/>
    <col min="2054" max="2054" width="17" style="79" customWidth="1"/>
    <col min="2055" max="2304" width="9.1171875" style="79"/>
    <col min="2305" max="2305" width="28.41015625" style="79" customWidth="1"/>
    <col min="2306" max="2306" width="17.87890625" style="79" customWidth="1"/>
    <col min="2307" max="2308" width="16.703125" style="79" customWidth="1"/>
    <col min="2309" max="2309" width="9.29296875" style="79" bestFit="1" customWidth="1"/>
    <col min="2310" max="2310" width="17" style="79" customWidth="1"/>
    <col min="2311" max="2560" width="9.1171875" style="79"/>
    <col min="2561" max="2561" width="28.41015625" style="79" customWidth="1"/>
    <col min="2562" max="2562" width="17.87890625" style="79" customWidth="1"/>
    <col min="2563" max="2564" width="16.703125" style="79" customWidth="1"/>
    <col min="2565" max="2565" width="9.29296875" style="79" bestFit="1" customWidth="1"/>
    <col min="2566" max="2566" width="17" style="79" customWidth="1"/>
    <col min="2567" max="2816" width="9.1171875" style="79"/>
    <col min="2817" max="2817" width="28.41015625" style="79" customWidth="1"/>
    <col min="2818" max="2818" width="17.87890625" style="79" customWidth="1"/>
    <col min="2819" max="2820" width="16.703125" style="79" customWidth="1"/>
    <col min="2821" max="2821" width="9.29296875" style="79" bestFit="1" customWidth="1"/>
    <col min="2822" max="2822" width="17" style="79" customWidth="1"/>
    <col min="2823" max="3072" width="9.1171875" style="79"/>
    <col min="3073" max="3073" width="28.41015625" style="79" customWidth="1"/>
    <col min="3074" max="3074" width="17.87890625" style="79" customWidth="1"/>
    <col min="3075" max="3076" width="16.703125" style="79" customWidth="1"/>
    <col min="3077" max="3077" width="9.29296875" style="79" bestFit="1" customWidth="1"/>
    <col min="3078" max="3078" width="17" style="79" customWidth="1"/>
    <col min="3079" max="3328" width="9.1171875" style="79"/>
    <col min="3329" max="3329" width="28.41015625" style="79" customWidth="1"/>
    <col min="3330" max="3330" width="17.87890625" style="79" customWidth="1"/>
    <col min="3331" max="3332" width="16.703125" style="79" customWidth="1"/>
    <col min="3333" max="3333" width="9.29296875" style="79" bestFit="1" customWidth="1"/>
    <col min="3334" max="3334" width="17" style="79" customWidth="1"/>
    <col min="3335" max="3584" width="9.1171875" style="79"/>
    <col min="3585" max="3585" width="28.41015625" style="79" customWidth="1"/>
    <col min="3586" max="3586" width="17.87890625" style="79" customWidth="1"/>
    <col min="3587" max="3588" width="16.703125" style="79" customWidth="1"/>
    <col min="3589" max="3589" width="9.29296875" style="79" bestFit="1" customWidth="1"/>
    <col min="3590" max="3590" width="17" style="79" customWidth="1"/>
    <col min="3591" max="3840" width="9.1171875" style="79"/>
    <col min="3841" max="3841" width="28.41015625" style="79" customWidth="1"/>
    <col min="3842" max="3842" width="17.87890625" style="79" customWidth="1"/>
    <col min="3843" max="3844" width="16.703125" style="79" customWidth="1"/>
    <col min="3845" max="3845" width="9.29296875" style="79" bestFit="1" customWidth="1"/>
    <col min="3846" max="3846" width="17" style="79" customWidth="1"/>
    <col min="3847" max="4096" width="9.1171875" style="79"/>
    <col min="4097" max="4097" width="28.41015625" style="79" customWidth="1"/>
    <col min="4098" max="4098" width="17.87890625" style="79" customWidth="1"/>
    <col min="4099" max="4100" width="16.703125" style="79" customWidth="1"/>
    <col min="4101" max="4101" width="9.29296875" style="79" bestFit="1" customWidth="1"/>
    <col min="4102" max="4102" width="17" style="79" customWidth="1"/>
    <col min="4103" max="4352" width="9.1171875" style="79"/>
    <col min="4353" max="4353" width="28.41015625" style="79" customWidth="1"/>
    <col min="4354" max="4354" width="17.87890625" style="79" customWidth="1"/>
    <col min="4355" max="4356" width="16.703125" style="79" customWidth="1"/>
    <col min="4357" max="4357" width="9.29296875" style="79" bestFit="1" customWidth="1"/>
    <col min="4358" max="4358" width="17" style="79" customWidth="1"/>
    <col min="4359" max="4608" width="9.1171875" style="79"/>
    <col min="4609" max="4609" width="28.41015625" style="79" customWidth="1"/>
    <col min="4610" max="4610" width="17.87890625" style="79" customWidth="1"/>
    <col min="4611" max="4612" width="16.703125" style="79" customWidth="1"/>
    <col min="4613" max="4613" width="9.29296875" style="79" bestFit="1" customWidth="1"/>
    <col min="4614" max="4614" width="17" style="79" customWidth="1"/>
    <col min="4615" max="4864" width="9.1171875" style="79"/>
    <col min="4865" max="4865" width="28.41015625" style="79" customWidth="1"/>
    <col min="4866" max="4866" width="17.87890625" style="79" customWidth="1"/>
    <col min="4867" max="4868" width="16.703125" style="79" customWidth="1"/>
    <col min="4869" max="4869" width="9.29296875" style="79" bestFit="1" customWidth="1"/>
    <col min="4870" max="4870" width="17" style="79" customWidth="1"/>
    <col min="4871" max="5120" width="9.1171875" style="79"/>
    <col min="5121" max="5121" width="28.41015625" style="79" customWidth="1"/>
    <col min="5122" max="5122" width="17.87890625" style="79" customWidth="1"/>
    <col min="5123" max="5124" width="16.703125" style="79" customWidth="1"/>
    <col min="5125" max="5125" width="9.29296875" style="79" bestFit="1" customWidth="1"/>
    <col min="5126" max="5126" width="17" style="79" customWidth="1"/>
    <col min="5127" max="5376" width="9.1171875" style="79"/>
    <col min="5377" max="5377" width="28.41015625" style="79" customWidth="1"/>
    <col min="5378" max="5378" width="17.87890625" style="79" customWidth="1"/>
    <col min="5379" max="5380" width="16.703125" style="79" customWidth="1"/>
    <col min="5381" max="5381" width="9.29296875" style="79" bestFit="1" customWidth="1"/>
    <col min="5382" max="5382" width="17" style="79" customWidth="1"/>
    <col min="5383" max="5632" width="9.1171875" style="79"/>
    <col min="5633" max="5633" width="28.41015625" style="79" customWidth="1"/>
    <col min="5634" max="5634" width="17.87890625" style="79" customWidth="1"/>
    <col min="5635" max="5636" width="16.703125" style="79" customWidth="1"/>
    <col min="5637" max="5637" width="9.29296875" style="79" bestFit="1" customWidth="1"/>
    <col min="5638" max="5638" width="17" style="79" customWidth="1"/>
    <col min="5639" max="5888" width="9.1171875" style="79"/>
    <col min="5889" max="5889" width="28.41015625" style="79" customWidth="1"/>
    <col min="5890" max="5890" width="17.87890625" style="79" customWidth="1"/>
    <col min="5891" max="5892" width="16.703125" style="79" customWidth="1"/>
    <col min="5893" max="5893" width="9.29296875" style="79" bestFit="1" customWidth="1"/>
    <col min="5894" max="5894" width="17" style="79" customWidth="1"/>
    <col min="5895" max="6144" width="9.1171875" style="79"/>
    <col min="6145" max="6145" width="28.41015625" style="79" customWidth="1"/>
    <col min="6146" max="6146" width="17.87890625" style="79" customWidth="1"/>
    <col min="6147" max="6148" width="16.703125" style="79" customWidth="1"/>
    <col min="6149" max="6149" width="9.29296875" style="79" bestFit="1" customWidth="1"/>
    <col min="6150" max="6150" width="17" style="79" customWidth="1"/>
    <col min="6151" max="6400" width="9.1171875" style="79"/>
    <col min="6401" max="6401" width="28.41015625" style="79" customWidth="1"/>
    <col min="6402" max="6402" width="17.87890625" style="79" customWidth="1"/>
    <col min="6403" max="6404" width="16.703125" style="79" customWidth="1"/>
    <col min="6405" max="6405" width="9.29296875" style="79" bestFit="1" customWidth="1"/>
    <col min="6406" max="6406" width="17" style="79" customWidth="1"/>
    <col min="6407" max="6656" width="9.1171875" style="79"/>
    <col min="6657" max="6657" width="28.41015625" style="79" customWidth="1"/>
    <col min="6658" max="6658" width="17.87890625" style="79" customWidth="1"/>
    <col min="6659" max="6660" width="16.703125" style="79" customWidth="1"/>
    <col min="6661" max="6661" width="9.29296875" style="79" bestFit="1" customWidth="1"/>
    <col min="6662" max="6662" width="17" style="79" customWidth="1"/>
    <col min="6663" max="6912" width="9.1171875" style="79"/>
    <col min="6913" max="6913" width="28.41015625" style="79" customWidth="1"/>
    <col min="6914" max="6914" width="17.87890625" style="79" customWidth="1"/>
    <col min="6915" max="6916" width="16.703125" style="79" customWidth="1"/>
    <col min="6917" max="6917" width="9.29296875" style="79" bestFit="1" customWidth="1"/>
    <col min="6918" max="6918" width="17" style="79" customWidth="1"/>
    <col min="6919" max="7168" width="9.1171875" style="79"/>
    <col min="7169" max="7169" width="28.41015625" style="79" customWidth="1"/>
    <col min="7170" max="7170" width="17.87890625" style="79" customWidth="1"/>
    <col min="7171" max="7172" width="16.703125" style="79" customWidth="1"/>
    <col min="7173" max="7173" width="9.29296875" style="79" bestFit="1" customWidth="1"/>
    <col min="7174" max="7174" width="17" style="79" customWidth="1"/>
    <col min="7175" max="7424" width="9.1171875" style="79"/>
    <col min="7425" max="7425" width="28.41015625" style="79" customWidth="1"/>
    <col min="7426" max="7426" width="17.87890625" style="79" customWidth="1"/>
    <col min="7427" max="7428" width="16.703125" style="79" customWidth="1"/>
    <col min="7429" max="7429" width="9.29296875" style="79" bestFit="1" customWidth="1"/>
    <col min="7430" max="7430" width="17" style="79" customWidth="1"/>
    <col min="7431" max="7680" width="9.1171875" style="79"/>
    <col min="7681" max="7681" width="28.41015625" style="79" customWidth="1"/>
    <col min="7682" max="7682" width="17.87890625" style="79" customWidth="1"/>
    <col min="7683" max="7684" width="16.703125" style="79" customWidth="1"/>
    <col min="7685" max="7685" width="9.29296875" style="79" bestFit="1" customWidth="1"/>
    <col min="7686" max="7686" width="17" style="79" customWidth="1"/>
    <col min="7687" max="7936" width="9.1171875" style="79"/>
    <col min="7937" max="7937" width="28.41015625" style="79" customWidth="1"/>
    <col min="7938" max="7938" width="17.87890625" style="79" customWidth="1"/>
    <col min="7939" max="7940" width="16.703125" style="79" customWidth="1"/>
    <col min="7941" max="7941" width="9.29296875" style="79" bestFit="1" customWidth="1"/>
    <col min="7942" max="7942" width="17" style="79" customWidth="1"/>
    <col min="7943" max="8192" width="9.1171875" style="79"/>
    <col min="8193" max="8193" width="28.41015625" style="79" customWidth="1"/>
    <col min="8194" max="8194" width="17.87890625" style="79" customWidth="1"/>
    <col min="8195" max="8196" width="16.703125" style="79" customWidth="1"/>
    <col min="8197" max="8197" width="9.29296875" style="79" bestFit="1" customWidth="1"/>
    <col min="8198" max="8198" width="17" style="79" customWidth="1"/>
    <col min="8199" max="8448" width="9.1171875" style="79"/>
    <col min="8449" max="8449" width="28.41015625" style="79" customWidth="1"/>
    <col min="8450" max="8450" width="17.87890625" style="79" customWidth="1"/>
    <col min="8451" max="8452" width="16.703125" style="79" customWidth="1"/>
    <col min="8453" max="8453" width="9.29296875" style="79" bestFit="1" customWidth="1"/>
    <col min="8454" max="8454" width="17" style="79" customWidth="1"/>
    <col min="8455" max="8704" width="9.1171875" style="79"/>
    <col min="8705" max="8705" width="28.41015625" style="79" customWidth="1"/>
    <col min="8706" max="8706" width="17.87890625" style="79" customWidth="1"/>
    <col min="8707" max="8708" width="16.703125" style="79" customWidth="1"/>
    <col min="8709" max="8709" width="9.29296875" style="79" bestFit="1" customWidth="1"/>
    <col min="8710" max="8710" width="17" style="79" customWidth="1"/>
    <col min="8711" max="8960" width="9.1171875" style="79"/>
    <col min="8961" max="8961" width="28.41015625" style="79" customWidth="1"/>
    <col min="8962" max="8962" width="17.87890625" style="79" customWidth="1"/>
    <col min="8963" max="8964" width="16.703125" style="79" customWidth="1"/>
    <col min="8965" max="8965" width="9.29296875" style="79" bestFit="1" customWidth="1"/>
    <col min="8966" max="8966" width="17" style="79" customWidth="1"/>
    <col min="8967" max="9216" width="9.1171875" style="79"/>
    <col min="9217" max="9217" width="28.41015625" style="79" customWidth="1"/>
    <col min="9218" max="9218" width="17.87890625" style="79" customWidth="1"/>
    <col min="9219" max="9220" width="16.703125" style="79" customWidth="1"/>
    <col min="9221" max="9221" width="9.29296875" style="79" bestFit="1" customWidth="1"/>
    <col min="9222" max="9222" width="17" style="79" customWidth="1"/>
    <col min="9223" max="9472" width="9.1171875" style="79"/>
    <col min="9473" max="9473" width="28.41015625" style="79" customWidth="1"/>
    <col min="9474" max="9474" width="17.87890625" style="79" customWidth="1"/>
    <col min="9475" max="9476" width="16.703125" style="79" customWidth="1"/>
    <col min="9477" max="9477" width="9.29296875" style="79" bestFit="1" customWidth="1"/>
    <col min="9478" max="9478" width="17" style="79" customWidth="1"/>
    <col min="9479" max="9728" width="9.1171875" style="79"/>
    <col min="9729" max="9729" width="28.41015625" style="79" customWidth="1"/>
    <col min="9730" max="9730" width="17.87890625" style="79" customWidth="1"/>
    <col min="9731" max="9732" width="16.703125" style="79" customWidth="1"/>
    <col min="9733" max="9733" width="9.29296875" style="79" bestFit="1" customWidth="1"/>
    <col min="9734" max="9734" width="17" style="79" customWidth="1"/>
    <col min="9735" max="9984" width="9.1171875" style="79"/>
    <col min="9985" max="9985" width="28.41015625" style="79" customWidth="1"/>
    <col min="9986" max="9986" width="17.87890625" style="79" customWidth="1"/>
    <col min="9987" max="9988" width="16.703125" style="79" customWidth="1"/>
    <col min="9989" max="9989" width="9.29296875" style="79" bestFit="1" customWidth="1"/>
    <col min="9990" max="9990" width="17" style="79" customWidth="1"/>
    <col min="9991" max="10240" width="9.1171875" style="79"/>
    <col min="10241" max="10241" width="28.41015625" style="79" customWidth="1"/>
    <col min="10242" max="10242" width="17.87890625" style="79" customWidth="1"/>
    <col min="10243" max="10244" width="16.703125" style="79" customWidth="1"/>
    <col min="10245" max="10245" width="9.29296875" style="79" bestFit="1" customWidth="1"/>
    <col min="10246" max="10246" width="17" style="79" customWidth="1"/>
    <col min="10247" max="10496" width="9.1171875" style="79"/>
    <col min="10497" max="10497" width="28.41015625" style="79" customWidth="1"/>
    <col min="10498" max="10498" width="17.87890625" style="79" customWidth="1"/>
    <col min="10499" max="10500" width="16.703125" style="79" customWidth="1"/>
    <col min="10501" max="10501" width="9.29296875" style="79" bestFit="1" customWidth="1"/>
    <col min="10502" max="10502" width="17" style="79" customWidth="1"/>
    <col min="10503" max="10752" width="9.1171875" style="79"/>
    <col min="10753" max="10753" width="28.41015625" style="79" customWidth="1"/>
    <col min="10754" max="10754" width="17.87890625" style="79" customWidth="1"/>
    <col min="10755" max="10756" width="16.703125" style="79" customWidth="1"/>
    <col min="10757" max="10757" width="9.29296875" style="79" bestFit="1" customWidth="1"/>
    <col min="10758" max="10758" width="17" style="79" customWidth="1"/>
    <col min="10759" max="11008" width="9.1171875" style="79"/>
    <col min="11009" max="11009" width="28.41015625" style="79" customWidth="1"/>
    <col min="11010" max="11010" width="17.87890625" style="79" customWidth="1"/>
    <col min="11011" max="11012" width="16.703125" style="79" customWidth="1"/>
    <col min="11013" max="11013" width="9.29296875" style="79" bestFit="1" customWidth="1"/>
    <col min="11014" max="11014" width="17" style="79" customWidth="1"/>
    <col min="11015" max="11264" width="9.1171875" style="79"/>
    <col min="11265" max="11265" width="28.41015625" style="79" customWidth="1"/>
    <col min="11266" max="11266" width="17.87890625" style="79" customWidth="1"/>
    <col min="11267" max="11268" width="16.703125" style="79" customWidth="1"/>
    <col min="11269" max="11269" width="9.29296875" style="79" bestFit="1" customWidth="1"/>
    <col min="11270" max="11270" width="17" style="79" customWidth="1"/>
    <col min="11271" max="11520" width="9.1171875" style="79"/>
    <col min="11521" max="11521" width="28.41015625" style="79" customWidth="1"/>
    <col min="11522" max="11522" width="17.87890625" style="79" customWidth="1"/>
    <col min="11523" max="11524" width="16.703125" style="79" customWidth="1"/>
    <col min="11525" max="11525" width="9.29296875" style="79" bestFit="1" customWidth="1"/>
    <col min="11526" max="11526" width="17" style="79" customWidth="1"/>
    <col min="11527" max="11776" width="9.1171875" style="79"/>
    <col min="11777" max="11777" width="28.41015625" style="79" customWidth="1"/>
    <col min="11778" max="11778" width="17.87890625" style="79" customWidth="1"/>
    <col min="11779" max="11780" width="16.703125" style="79" customWidth="1"/>
    <col min="11781" max="11781" width="9.29296875" style="79" bestFit="1" customWidth="1"/>
    <col min="11782" max="11782" width="17" style="79" customWidth="1"/>
    <col min="11783" max="12032" width="9.1171875" style="79"/>
    <col min="12033" max="12033" width="28.41015625" style="79" customWidth="1"/>
    <col min="12034" max="12034" width="17.87890625" style="79" customWidth="1"/>
    <col min="12035" max="12036" width="16.703125" style="79" customWidth="1"/>
    <col min="12037" max="12037" width="9.29296875" style="79" bestFit="1" customWidth="1"/>
    <col min="12038" max="12038" width="17" style="79" customWidth="1"/>
    <col min="12039" max="12288" width="9.1171875" style="79"/>
    <col min="12289" max="12289" width="28.41015625" style="79" customWidth="1"/>
    <col min="12290" max="12290" width="17.87890625" style="79" customWidth="1"/>
    <col min="12291" max="12292" width="16.703125" style="79" customWidth="1"/>
    <col min="12293" max="12293" width="9.29296875" style="79" bestFit="1" customWidth="1"/>
    <col min="12294" max="12294" width="17" style="79" customWidth="1"/>
    <col min="12295" max="12544" width="9.1171875" style="79"/>
    <col min="12545" max="12545" width="28.41015625" style="79" customWidth="1"/>
    <col min="12546" max="12546" width="17.87890625" style="79" customWidth="1"/>
    <col min="12547" max="12548" width="16.703125" style="79" customWidth="1"/>
    <col min="12549" max="12549" width="9.29296875" style="79" bestFit="1" customWidth="1"/>
    <col min="12550" max="12550" width="17" style="79" customWidth="1"/>
    <col min="12551" max="12800" width="9.1171875" style="79"/>
    <col min="12801" max="12801" width="28.41015625" style="79" customWidth="1"/>
    <col min="12802" max="12802" width="17.87890625" style="79" customWidth="1"/>
    <col min="12803" max="12804" width="16.703125" style="79" customWidth="1"/>
    <col min="12805" max="12805" width="9.29296875" style="79" bestFit="1" customWidth="1"/>
    <col min="12806" max="12806" width="17" style="79" customWidth="1"/>
    <col min="12807" max="13056" width="9.1171875" style="79"/>
    <col min="13057" max="13057" width="28.41015625" style="79" customWidth="1"/>
    <col min="13058" max="13058" width="17.87890625" style="79" customWidth="1"/>
    <col min="13059" max="13060" width="16.703125" style="79" customWidth="1"/>
    <col min="13061" max="13061" width="9.29296875" style="79" bestFit="1" customWidth="1"/>
    <col min="13062" max="13062" width="17" style="79" customWidth="1"/>
    <col min="13063" max="13312" width="9.1171875" style="79"/>
    <col min="13313" max="13313" width="28.41015625" style="79" customWidth="1"/>
    <col min="13314" max="13314" width="17.87890625" style="79" customWidth="1"/>
    <col min="13315" max="13316" width="16.703125" style="79" customWidth="1"/>
    <col min="13317" max="13317" width="9.29296875" style="79" bestFit="1" customWidth="1"/>
    <col min="13318" max="13318" width="17" style="79" customWidth="1"/>
    <col min="13319" max="13568" width="9.1171875" style="79"/>
    <col min="13569" max="13569" width="28.41015625" style="79" customWidth="1"/>
    <col min="13570" max="13570" width="17.87890625" style="79" customWidth="1"/>
    <col min="13571" max="13572" width="16.703125" style="79" customWidth="1"/>
    <col min="13573" max="13573" width="9.29296875" style="79" bestFit="1" customWidth="1"/>
    <col min="13574" max="13574" width="17" style="79" customWidth="1"/>
    <col min="13575" max="13824" width="9.1171875" style="79"/>
    <col min="13825" max="13825" width="28.41015625" style="79" customWidth="1"/>
    <col min="13826" max="13826" width="17.87890625" style="79" customWidth="1"/>
    <col min="13827" max="13828" width="16.703125" style="79" customWidth="1"/>
    <col min="13829" max="13829" width="9.29296875" style="79" bestFit="1" customWidth="1"/>
    <col min="13830" max="13830" width="17" style="79" customWidth="1"/>
    <col min="13831" max="14080" width="9.1171875" style="79"/>
    <col min="14081" max="14081" width="28.41015625" style="79" customWidth="1"/>
    <col min="14082" max="14082" width="17.87890625" style="79" customWidth="1"/>
    <col min="14083" max="14084" width="16.703125" style="79" customWidth="1"/>
    <col min="14085" max="14085" width="9.29296875" style="79" bestFit="1" customWidth="1"/>
    <col min="14086" max="14086" width="17" style="79" customWidth="1"/>
    <col min="14087" max="14336" width="9.1171875" style="79"/>
    <col min="14337" max="14337" width="28.41015625" style="79" customWidth="1"/>
    <col min="14338" max="14338" width="17.87890625" style="79" customWidth="1"/>
    <col min="14339" max="14340" width="16.703125" style="79" customWidth="1"/>
    <col min="14341" max="14341" width="9.29296875" style="79" bestFit="1" customWidth="1"/>
    <col min="14342" max="14342" width="17" style="79" customWidth="1"/>
    <col min="14343" max="14592" width="9.1171875" style="79"/>
    <col min="14593" max="14593" width="28.41015625" style="79" customWidth="1"/>
    <col min="14594" max="14594" width="17.87890625" style="79" customWidth="1"/>
    <col min="14595" max="14596" width="16.703125" style="79" customWidth="1"/>
    <col min="14597" max="14597" width="9.29296875" style="79" bestFit="1" customWidth="1"/>
    <col min="14598" max="14598" width="17" style="79" customWidth="1"/>
    <col min="14599" max="14848" width="9.1171875" style="79"/>
    <col min="14849" max="14849" width="28.41015625" style="79" customWidth="1"/>
    <col min="14850" max="14850" width="17.87890625" style="79" customWidth="1"/>
    <col min="14851" max="14852" width="16.703125" style="79" customWidth="1"/>
    <col min="14853" max="14853" width="9.29296875" style="79" bestFit="1" customWidth="1"/>
    <col min="14854" max="14854" width="17" style="79" customWidth="1"/>
    <col min="14855" max="15104" width="9.1171875" style="79"/>
    <col min="15105" max="15105" width="28.41015625" style="79" customWidth="1"/>
    <col min="15106" max="15106" width="17.87890625" style="79" customWidth="1"/>
    <col min="15107" max="15108" width="16.703125" style="79" customWidth="1"/>
    <col min="15109" max="15109" width="9.29296875" style="79" bestFit="1" customWidth="1"/>
    <col min="15110" max="15110" width="17" style="79" customWidth="1"/>
    <col min="15111" max="15360" width="9.1171875" style="79"/>
    <col min="15361" max="15361" width="28.41015625" style="79" customWidth="1"/>
    <col min="15362" max="15362" width="17.87890625" style="79" customWidth="1"/>
    <col min="15363" max="15364" width="16.703125" style="79" customWidth="1"/>
    <col min="15365" max="15365" width="9.29296875" style="79" bestFit="1" customWidth="1"/>
    <col min="15366" max="15366" width="17" style="79" customWidth="1"/>
    <col min="15367" max="15616" width="9.1171875" style="79"/>
    <col min="15617" max="15617" width="28.41015625" style="79" customWidth="1"/>
    <col min="15618" max="15618" width="17.87890625" style="79" customWidth="1"/>
    <col min="15619" max="15620" width="16.703125" style="79" customWidth="1"/>
    <col min="15621" max="15621" width="9.29296875" style="79" bestFit="1" customWidth="1"/>
    <col min="15622" max="15622" width="17" style="79" customWidth="1"/>
    <col min="15623" max="15872" width="9.1171875" style="79"/>
    <col min="15873" max="15873" width="28.41015625" style="79" customWidth="1"/>
    <col min="15874" max="15874" width="17.87890625" style="79" customWidth="1"/>
    <col min="15875" max="15876" width="16.703125" style="79" customWidth="1"/>
    <col min="15877" max="15877" width="9.29296875" style="79" bestFit="1" customWidth="1"/>
    <col min="15878" max="15878" width="17" style="79" customWidth="1"/>
    <col min="15879" max="16128" width="9.1171875" style="79"/>
    <col min="16129" max="16129" width="28.41015625" style="79" customWidth="1"/>
    <col min="16130" max="16130" width="17.87890625" style="79" customWidth="1"/>
    <col min="16131" max="16132" width="16.703125" style="79" customWidth="1"/>
    <col min="16133" max="16133" width="9.29296875" style="79" bestFit="1" customWidth="1"/>
    <col min="16134" max="16134" width="17" style="79" customWidth="1"/>
    <col min="16135" max="16384" width="9.1171875" style="79"/>
  </cols>
  <sheetData>
    <row r="1" spans="1:7" x14ac:dyDescent="0.4">
      <c r="A1" s="78" t="s">
        <v>0</v>
      </c>
      <c r="B1" s="78"/>
      <c r="C1" s="78"/>
    </row>
    <row r="2" spans="1:7" ht="12.75" customHeight="1" x14ac:dyDescent="0.4">
      <c r="A2" s="179" t="s">
        <v>1</v>
      </c>
      <c r="B2" s="179"/>
      <c r="C2" s="179"/>
      <c r="D2" s="179"/>
      <c r="E2" s="80"/>
      <c r="F2" s="80"/>
    </row>
    <row r="3" spans="1:7" x14ac:dyDescent="0.4">
      <c r="A3" s="179"/>
      <c r="B3" s="179"/>
      <c r="C3" s="179"/>
      <c r="D3" s="179"/>
    </row>
    <row r="4" spans="1:7" x14ac:dyDescent="0.4">
      <c r="A4" s="174"/>
      <c r="B4" s="174"/>
      <c r="C4" s="174"/>
      <c r="D4" s="174"/>
    </row>
    <row r="5" spans="1:7" x14ac:dyDescent="0.4">
      <c r="B5" s="81" t="s">
        <v>2</v>
      </c>
    </row>
    <row r="6" spans="1:7" x14ac:dyDescent="0.4">
      <c r="A6" s="82" t="s">
        <v>3</v>
      </c>
      <c r="B6" s="83"/>
      <c r="C6" s="81" t="s">
        <v>4</v>
      </c>
      <c r="D6" s="81" t="s">
        <v>5</v>
      </c>
      <c r="E6" s="78"/>
      <c r="F6" s="78"/>
      <c r="G6" s="78"/>
    </row>
    <row r="7" spans="1:7" x14ac:dyDescent="0.4">
      <c r="A7" s="82"/>
      <c r="B7" s="83"/>
      <c r="C7" s="81"/>
      <c r="D7" s="81"/>
      <c r="E7" s="78"/>
      <c r="F7" s="78"/>
      <c r="G7" s="78"/>
    </row>
    <row r="8" spans="1:7" x14ac:dyDescent="0.4">
      <c r="A8" s="82" t="s">
        <v>6</v>
      </c>
      <c r="B8" s="84" t="s">
        <v>7</v>
      </c>
      <c r="C8" s="106">
        <v>30</v>
      </c>
      <c r="D8" s="105">
        <f>C8</f>
        <v>30</v>
      </c>
    </row>
    <row r="9" spans="1:7" x14ac:dyDescent="0.4">
      <c r="A9" s="85" t="s">
        <v>8</v>
      </c>
      <c r="B9" s="81" t="s">
        <v>9</v>
      </c>
      <c r="C9" s="86">
        <f>C8*2080</f>
        <v>62400</v>
      </c>
      <c r="D9" s="86">
        <f>C9</f>
        <v>62400</v>
      </c>
      <c r="E9" s="79" t="s">
        <v>9</v>
      </c>
    </row>
    <row r="10" spans="1:7" x14ac:dyDescent="0.4">
      <c r="A10" s="85"/>
      <c r="B10" s="81"/>
      <c r="C10" s="87"/>
      <c r="D10" s="87"/>
    </row>
    <row r="11" spans="1:7" x14ac:dyDescent="0.4">
      <c r="A11" s="82" t="s">
        <v>10</v>
      </c>
      <c r="B11" s="88" t="s">
        <v>11</v>
      </c>
      <c r="C11" s="84" t="s">
        <v>12</v>
      </c>
      <c r="D11" s="84" t="s">
        <v>5</v>
      </c>
    </row>
    <row r="12" spans="1:7" x14ac:dyDescent="0.4">
      <c r="A12" s="89" t="s">
        <v>13</v>
      </c>
      <c r="B12" s="84">
        <v>2020</v>
      </c>
      <c r="C12" s="107">
        <v>18528</v>
      </c>
      <c r="D12" s="107">
        <v>6816</v>
      </c>
    </row>
    <row r="13" spans="1:7" x14ac:dyDescent="0.4">
      <c r="A13" s="89" t="s">
        <v>14</v>
      </c>
      <c r="B13" s="84">
        <v>2020</v>
      </c>
      <c r="C13" s="107">
        <v>3816</v>
      </c>
      <c r="D13" s="107">
        <v>1200</v>
      </c>
    </row>
    <row r="14" spans="1:7" x14ac:dyDescent="0.4">
      <c r="A14" s="89"/>
      <c r="B14" s="84" t="s">
        <v>9</v>
      </c>
      <c r="C14" s="86" t="s">
        <v>9</v>
      </c>
      <c r="D14" s="86" t="s">
        <v>9</v>
      </c>
    </row>
    <row r="15" spans="1:7" x14ac:dyDescent="0.4">
      <c r="A15" s="82" t="s">
        <v>15</v>
      </c>
      <c r="B15" s="84" t="s">
        <v>16</v>
      </c>
      <c r="C15" s="86">
        <f>190*12</f>
        <v>2280</v>
      </c>
      <c r="D15" s="86">
        <f>90*12</f>
        <v>1080</v>
      </c>
    </row>
    <row r="16" spans="1:7" x14ac:dyDescent="0.4">
      <c r="A16" s="82"/>
      <c r="B16" s="84" t="s">
        <v>9</v>
      </c>
      <c r="C16" s="86"/>
      <c r="D16" s="86"/>
    </row>
    <row r="17" spans="1:4" x14ac:dyDescent="0.4">
      <c r="A17" s="82" t="s">
        <v>17</v>
      </c>
      <c r="B17" s="84" t="s">
        <v>18</v>
      </c>
      <c r="C17" s="107">
        <v>828</v>
      </c>
      <c r="D17" s="107">
        <v>828</v>
      </c>
    </row>
    <row r="18" spans="1:4" x14ac:dyDescent="0.4">
      <c r="A18" s="82"/>
      <c r="B18" s="84" t="s">
        <v>9</v>
      </c>
      <c r="C18" s="86"/>
      <c r="D18" s="86"/>
    </row>
    <row r="19" spans="1:4" x14ac:dyDescent="0.4">
      <c r="A19" s="90" t="s">
        <v>19</v>
      </c>
      <c r="B19" s="84" t="s">
        <v>20</v>
      </c>
      <c r="C19" s="107">
        <v>66</v>
      </c>
      <c r="D19" s="107">
        <f>C19</f>
        <v>66</v>
      </c>
    </row>
    <row r="20" spans="1:4" x14ac:dyDescent="0.4">
      <c r="A20" s="91"/>
      <c r="B20" s="84" t="s">
        <v>9</v>
      </c>
      <c r="C20" s="92"/>
      <c r="D20" s="92"/>
    </row>
    <row r="21" spans="1:4" x14ac:dyDescent="0.4">
      <c r="A21" s="90" t="s">
        <v>21</v>
      </c>
      <c r="B21" s="84" t="s">
        <v>18</v>
      </c>
      <c r="C21" s="107">
        <f>C9/100*0.299</f>
        <v>186.57599999999999</v>
      </c>
      <c r="D21" s="86">
        <f>C21</f>
        <v>186.57599999999999</v>
      </c>
    </row>
    <row r="22" spans="1:4" x14ac:dyDescent="0.4">
      <c r="A22" s="90"/>
      <c r="B22" s="84"/>
      <c r="C22" s="86"/>
      <c r="D22" s="86"/>
    </row>
    <row r="23" spans="1:4" x14ac:dyDescent="0.4">
      <c r="A23" s="90"/>
      <c r="B23" s="84"/>
      <c r="C23" s="86"/>
      <c r="D23" s="86"/>
    </row>
    <row r="24" spans="1:4" x14ac:dyDescent="0.4">
      <c r="A24" s="93" t="s">
        <v>22</v>
      </c>
      <c r="B24" s="94">
        <v>12</v>
      </c>
      <c r="C24" s="86">
        <f>C8*B24*8</f>
        <v>2880</v>
      </c>
      <c r="D24" s="86">
        <f>D8*B24*8</f>
        <v>2880</v>
      </c>
    </row>
    <row r="25" spans="1:4" x14ac:dyDescent="0.4">
      <c r="A25" s="90" t="s">
        <v>23</v>
      </c>
      <c r="B25" s="84">
        <v>11</v>
      </c>
      <c r="C25" s="86">
        <f>C8*88</f>
        <v>2640</v>
      </c>
      <c r="D25" s="86">
        <f>D8*88</f>
        <v>2640</v>
      </c>
    </row>
    <row r="26" spans="1:4" x14ac:dyDescent="0.4">
      <c r="A26" s="90" t="s">
        <v>24</v>
      </c>
      <c r="B26" s="84">
        <v>12</v>
      </c>
      <c r="C26" s="86">
        <f>C8*96</f>
        <v>2880</v>
      </c>
      <c r="D26" s="86">
        <f>D8*96</f>
        <v>2880</v>
      </c>
    </row>
    <row r="27" spans="1:4" x14ac:dyDescent="0.4">
      <c r="A27" s="89"/>
      <c r="B27" s="84"/>
      <c r="C27" s="92"/>
      <c r="D27" s="92"/>
    </row>
    <row r="28" spans="1:4" x14ac:dyDescent="0.4">
      <c r="A28" s="90" t="s">
        <v>25</v>
      </c>
      <c r="B28" s="84"/>
      <c r="C28" s="86" t="s">
        <v>9</v>
      </c>
      <c r="D28" s="95" t="s">
        <v>9</v>
      </c>
    </row>
    <row r="29" spans="1:4" x14ac:dyDescent="0.4">
      <c r="A29" s="89" t="s">
        <v>13</v>
      </c>
      <c r="B29" s="96">
        <v>7.4999999999999997E-2</v>
      </c>
      <c r="C29" s="86">
        <f>C9*B29</f>
        <v>4680</v>
      </c>
      <c r="D29" s="86">
        <f>D9*B29</f>
        <v>4680</v>
      </c>
    </row>
    <row r="30" spans="1:4" x14ac:dyDescent="0.4">
      <c r="A30" s="89" t="s">
        <v>26</v>
      </c>
      <c r="B30" s="96">
        <v>6.5000000000000002E-2</v>
      </c>
      <c r="C30" s="86">
        <f>C9*B30</f>
        <v>4056</v>
      </c>
      <c r="D30" s="86">
        <f>D9*B30</f>
        <v>4056</v>
      </c>
    </row>
    <row r="31" spans="1:4" x14ac:dyDescent="0.4">
      <c r="A31" s="89"/>
      <c r="B31" s="84"/>
      <c r="C31" s="86"/>
      <c r="D31" s="86"/>
    </row>
    <row r="32" spans="1:4" ht="24" customHeight="1" x14ac:dyDescent="0.4">
      <c r="A32" s="180" t="s">
        <v>27</v>
      </c>
      <c r="B32" s="181"/>
      <c r="C32" s="181"/>
      <c r="D32" s="182"/>
    </row>
    <row r="33" spans="1:5" x14ac:dyDescent="0.4">
      <c r="A33" s="89" t="s">
        <v>13</v>
      </c>
      <c r="B33" s="96">
        <v>7.6499999999999999E-2</v>
      </c>
      <c r="C33" s="107">
        <f>MIN(C9*0.062,8239)+C9*0.0145</f>
        <v>4773.6000000000004</v>
      </c>
      <c r="D33" s="86">
        <f>C33</f>
        <v>4773.6000000000004</v>
      </c>
    </row>
    <row r="34" spans="1:5" x14ac:dyDescent="0.4">
      <c r="A34" s="89" t="s">
        <v>26</v>
      </c>
      <c r="B34" s="96">
        <v>7.6499999999999999E-2</v>
      </c>
      <c r="C34" s="86">
        <f>C33</f>
        <v>4773.6000000000004</v>
      </c>
      <c r="D34" s="86">
        <f>C34</f>
        <v>4773.6000000000004</v>
      </c>
    </row>
    <row r="35" spans="1:5" x14ac:dyDescent="0.4">
      <c r="A35" s="97" t="s">
        <v>9</v>
      </c>
      <c r="B35" s="98"/>
      <c r="C35" s="99"/>
      <c r="D35" s="99"/>
    </row>
    <row r="36" spans="1:5" x14ac:dyDescent="0.4">
      <c r="A36" s="100" t="s">
        <v>28</v>
      </c>
      <c r="B36" s="100"/>
      <c r="E36" s="79" t="s">
        <v>9</v>
      </c>
    </row>
    <row r="37" spans="1:5" x14ac:dyDescent="0.4">
      <c r="A37" s="79" t="s">
        <v>29</v>
      </c>
      <c r="C37" s="101">
        <f>C9</f>
        <v>62400</v>
      </c>
      <c r="D37" s="101">
        <f>D9</f>
        <v>62400</v>
      </c>
      <c r="E37" s="102" t="s">
        <v>9</v>
      </c>
    </row>
    <row r="38" spans="1:5" x14ac:dyDescent="0.4">
      <c r="C38" s="101"/>
      <c r="D38" s="101"/>
      <c r="E38" s="102"/>
    </row>
    <row r="39" spans="1:5" x14ac:dyDescent="0.4">
      <c r="A39" s="79" t="s">
        <v>30</v>
      </c>
      <c r="C39" s="101">
        <f>C12</f>
        <v>18528</v>
      </c>
      <c r="D39" s="101">
        <f>D12</f>
        <v>6816</v>
      </c>
      <c r="E39" s="102" t="s">
        <v>9</v>
      </c>
    </row>
    <row r="40" spans="1:5" x14ac:dyDescent="0.4">
      <c r="A40" s="79" t="s">
        <v>31</v>
      </c>
      <c r="C40" s="101">
        <f>C15</f>
        <v>2280</v>
      </c>
      <c r="D40" s="101">
        <f>D15</f>
        <v>1080</v>
      </c>
      <c r="E40" s="102" t="s">
        <v>9</v>
      </c>
    </row>
    <row r="41" spans="1:5" x14ac:dyDescent="0.4">
      <c r="A41" s="79" t="s">
        <v>32</v>
      </c>
      <c r="C41" s="101">
        <f>C17</f>
        <v>828</v>
      </c>
      <c r="D41" s="101">
        <f>D17</f>
        <v>828</v>
      </c>
      <c r="E41" s="102" t="s">
        <v>9</v>
      </c>
    </row>
    <row r="42" spans="1:5" x14ac:dyDescent="0.4">
      <c r="A42" s="79" t="s">
        <v>33</v>
      </c>
      <c r="C42" s="101">
        <f>C19</f>
        <v>66</v>
      </c>
      <c r="D42" s="101">
        <f>D19</f>
        <v>66</v>
      </c>
      <c r="E42" s="102" t="s">
        <v>9</v>
      </c>
    </row>
    <row r="43" spans="1:5" x14ac:dyDescent="0.4">
      <c r="A43" s="79" t="s">
        <v>34</v>
      </c>
      <c r="C43" s="101">
        <f>C21</f>
        <v>186.57599999999999</v>
      </c>
      <c r="D43" s="101">
        <f>D21</f>
        <v>186.57599999999999</v>
      </c>
      <c r="E43" s="102" t="s">
        <v>9</v>
      </c>
    </row>
    <row r="44" spans="1:5" x14ac:dyDescent="0.4">
      <c r="A44" s="79" t="s">
        <v>35</v>
      </c>
      <c r="C44" s="108">
        <v>200</v>
      </c>
      <c r="D44" s="109">
        <f>C44</f>
        <v>200</v>
      </c>
      <c r="E44" s="102"/>
    </row>
    <row r="45" spans="1:5" x14ac:dyDescent="0.4">
      <c r="A45" s="79" t="s">
        <v>36</v>
      </c>
      <c r="C45" s="101">
        <f>C29</f>
        <v>4680</v>
      </c>
      <c r="D45" s="101">
        <f>D29</f>
        <v>4680</v>
      </c>
      <c r="E45" s="102" t="s">
        <v>9</v>
      </c>
    </row>
    <row r="46" spans="1:5" x14ac:dyDescent="0.4">
      <c r="A46" s="79" t="s">
        <v>37</v>
      </c>
      <c r="C46" s="103">
        <f>C33</f>
        <v>4773.6000000000004</v>
      </c>
      <c r="D46" s="103">
        <f>D33</f>
        <v>4773.6000000000004</v>
      </c>
      <c r="E46" s="102" t="s">
        <v>9</v>
      </c>
    </row>
    <row r="47" spans="1:5" x14ac:dyDescent="0.4">
      <c r="B47" s="79" t="s">
        <v>38</v>
      </c>
      <c r="C47" s="101">
        <f>SUM(C39:C46)</f>
        <v>31542.175999999999</v>
      </c>
      <c r="D47" s="101">
        <f>SUM(D39:D46)</f>
        <v>18630.175999999999</v>
      </c>
      <c r="E47" s="104" t="s">
        <v>9</v>
      </c>
    </row>
    <row r="48" spans="1:5" ht="6" customHeight="1" x14ac:dyDescent="0.4">
      <c r="C48" s="104"/>
      <c r="D48" s="104"/>
      <c r="E48" s="102"/>
    </row>
    <row r="49" spans="1:5" x14ac:dyDescent="0.4">
      <c r="A49" s="183" t="s">
        <v>39</v>
      </c>
      <c r="B49" s="183"/>
      <c r="C49" s="101">
        <f>SUM(C37:C46)</f>
        <v>93942.176000000007</v>
      </c>
      <c r="D49" s="101">
        <f>SUM(D37:D46)</f>
        <v>81030.176000000007</v>
      </c>
      <c r="E49" s="102" t="s">
        <v>9</v>
      </c>
    </row>
    <row r="50" spans="1:5" ht="3.75" customHeight="1" x14ac:dyDescent="0.4">
      <c r="C50" s="101"/>
      <c r="D50" s="101"/>
      <c r="E50" s="102">
        <f>D50/12</f>
        <v>0</v>
      </c>
    </row>
    <row r="51" spans="1:5" x14ac:dyDescent="0.4">
      <c r="A51" s="183" t="s">
        <v>40</v>
      </c>
      <c r="B51" s="183"/>
      <c r="C51" s="101">
        <f>C24+C25+C26</f>
        <v>8400</v>
      </c>
      <c r="D51" s="101">
        <f>D24+D25+D26</f>
        <v>8400</v>
      </c>
      <c r="E51" s="102" t="s">
        <v>9</v>
      </c>
    </row>
    <row r="52" spans="1:5" x14ac:dyDescent="0.4">
      <c r="A52" s="175"/>
      <c r="B52" s="175"/>
      <c r="C52" s="104"/>
      <c r="D52" s="104"/>
    </row>
  </sheetData>
  <mergeCells count="4">
    <mergeCell ref="A2:D3"/>
    <mergeCell ref="A32:D32"/>
    <mergeCell ref="A49:B49"/>
    <mergeCell ref="A51:B51"/>
  </mergeCells>
  <pageMargins left="0.89" right="0.5" top="0.5" bottom="0.5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EFFF-B48E-456C-A301-26EC6C97A631}">
  <sheetPr>
    <pageSetUpPr fitToPage="1"/>
  </sheetPr>
  <dimension ref="A1:Y52"/>
  <sheetViews>
    <sheetView showGridLines="0" zoomScaleNormal="100" workbookViewId="0">
      <selection activeCell="E40" sqref="E40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70312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5.703125" style="25" bestFit="1" customWidth="1"/>
    <col min="9" max="9" width="4.7031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7.1171875" style="121" hidden="1" customWidth="1"/>
    <col min="15" max="15" width="12.29296875" style="121" hidden="1" customWidth="1"/>
    <col min="16" max="16" width="8.1171875" style="121" hidden="1" customWidth="1"/>
    <col min="17" max="18" width="15.87890625" style="121" hidden="1" customWidth="1"/>
    <col min="19" max="19" width="16.5859375" style="128" hidden="1" customWidth="1"/>
    <col min="20" max="20" width="0" style="124" hidden="1" customWidth="1"/>
    <col min="21" max="25" width="0" style="62" hidden="1" customWidth="1"/>
    <col min="26" max="16384" width="11.41015625" style="21"/>
  </cols>
  <sheetData>
    <row r="1" spans="1:25" x14ac:dyDescent="0.45">
      <c r="A1" s="21" t="s">
        <v>138</v>
      </c>
    </row>
    <row r="2" spans="1:25" x14ac:dyDescent="0.45">
      <c r="B2" s="72" t="s">
        <v>89</v>
      </c>
      <c r="N2" s="119" t="s">
        <v>166</v>
      </c>
      <c r="O2" s="120">
        <v>1.0249999999999999</v>
      </c>
      <c r="P2" s="120"/>
      <c r="R2" s="122"/>
      <c r="S2" s="123"/>
    </row>
    <row r="3" spans="1:25" ht="13.2" customHeight="1" x14ac:dyDescent="0.45">
      <c r="B3" s="19" t="s">
        <v>140</v>
      </c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177" t="s">
        <v>141</v>
      </c>
      <c r="O3" s="124" t="s">
        <v>167</v>
      </c>
      <c r="P3" s="124"/>
      <c r="Q3" s="125"/>
      <c r="R3" s="126"/>
      <c r="S3" s="127"/>
    </row>
    <row r="4" spans="1:25" ht="13.2" customHeight="1" x14ac:dyDescent="0.45">
      <c r="B4" s="22" t="s">
        <v>168</v>
      </c>
      <c r="C4" s="18"/>
      <c r="D4" s="18"/>
      <c r="E4" s="18"/>
      <c r="F4" s="19"/>
      <c r="G4" s="18"/>
      <c r="H4" s="18"/>
      <c r="I4" s="18"/>
      <c r="J4" s="20"/>
      <c r="K4" s="20"/>
      <c r="L4" s="20"/>
      <c r="M4" s="20"/>
      <c r="N4" s="177"/>
      <c r="O4" s="124"/>
      <c r="P4" s="124"/>
      <c r="Q4" s="125"/>
      <c r="R4" s="126"/>
      <c r="S4" s="127"/>
    </row>
    <row r="5" spans="1:25" ht="13.2" customHeight="1" x14ac:dyDescent="0.45">
      <c r="B5" s="22" t="s">
        <v>144</v>
      </c>
      <c r="C5" s="18"/>
      <c r="D5" s="18"/>
      <c r="E5" s="18"/>
      <c r="F5" s="19"/>
      <c r="G5" s="18"/>
      <c r="H5" s="18"/>
      <c r="I5" s="18"/>
      <c r="J5" s="20"/>
      <c r="K5" s="20"/>
      <c r="L5" s="20"/>
      <c r="M5" s="20"/>
      <c r="N5" s="177"/>
      <c r="O5" s="124"/>
      <c r="P5" s="124"/>
      <c r="Q5" s="125"/>
      <c r="R5" s="126"/>
      <c r="S5" s="127"/>
    </row>
    <row r="6" spans="1:25" ht="13.2" customHeight="1" x14ac:dyDescent="0.45">
      <c r="B6" s="19"/>
      <c r="C6" s="18"/>
      <c r="D6" s="18"/>
      <c r="E6" s="18"/>
      <c r="F6" s="19"/>
      <c r="G6" s="18"/>
      <c r="H6" s="18"/>
      <c r="I6" s="18"/>
      <c r="J6" s="20"/>
      <c r="K6" s="20"/>
      <c r="L6" s="20"/>
      <c r="M6" s="20"/>
      <c r="Q6" s="125"/>
      <c r="R6" s="125"/>
    </row>
    <row r="7" spans="1:25" ht="13.2" customHeight="1" x14ac:dyDescent="0.45">
      <c r="B7" s="22"/>
      <c r="C7" s="18" t="s">
        <v>145</v>
      </c>
      <c r="D7" s="18"/>
      <c r="E7" s="18"/>
      <c r="F7" s="19"/>
      <c r="G7" s="18"/>
      <c r="H7" s="143" t="s">
        <v>146</v>
      </c>
      <c r="I7" s="18" t="s">
        <v>147</v>
      </c>
      <c r="J7" s="18" t="s">
        <v>42</v>
      </c>
      <c r="K7" s="20"/>
      <c r="L7" s="20"/>
      <c r="M7" s="20"/>
      <c r="N7" s="125" t="s">
        <v>148</v>
      </c>
      <c r="O7" s="126"/>
      <c r="P7" s="126"/>
      <c r="Q7" s="126"/>
      <c r="R7" s="126"/>
      <c r="S7" s="127"/>
      <c r="U7" s="62" t="s">
        <v>149</v>
      </c>
    </row>
    <row r="8" spans="1:25" ht="13.2" customHeight="1" x14ac:dyDescent="0.45">
      <c r="B8" s="36" t="s">
        <v>43</v>
      </c>
      <c r="C8" s="36" t="s">
        <v>150</v>
      </c>
      <c r="D8" s="36" t="s">
        <v>151</v>
      </c>
      <c r="E8" s="36" t="s">
        <v>152</v>
      </c>
      <c r="F8" s="37" t="s">
        <v>153</v>
      </c>
      <c r="G8" s="38" t="s">
        <v>47</v>
      </c>
      <c r="H8" s="39" t="s">
        <v>154</v>
      </c>
      <c r="I8" s="36" t="s">
        <v>155</v>
      </c>
      <c r="J8" s="36" t="s">
        <v>50</v>
      </c>
      <c r="K8" s="20"/>
      <c r="L8" s="20"/>
      <c r="M8" s="20"/>
      <c r="N8" s="136" t="s">
        <v>152</v>
      </c>
      <c r="O8" s="136" t="s">
        <v>156</v>
      </c>
      <c r="P8" s="136" t="s">
        <v>157</v>
      </c>
      <c r="Q8" s="137" t="s">
        <v>153</v>
      </c>
      <c r="R8" s="136"/>
      <c r="S8" s="138" t="s">
        <v>158</v>
      </c>
      <c r="T8" s="139" t="s">
        <v>159</v>
      </c>
      <c r="U8" s="140" t="s">
        <v>152</v>
      </c>
      <c r="V8" s="140" t="s">
        <v>156</v>
      </c>
      <c r="W8" s="140" t="s">
        <v>157</v>
      </c>
      <c r="X8" s="141" t="s">
        <v>153</v>
      </c>
      <c r="Y8" s="142" t="s">
        <v>158</v>
      </c>
    </row>
    <row r="9" spans="1:25" ht="13.2" customHeight="1" x14ac:dyDescent="0.45">
      <c r="G9" s="24"/>
      <c r="J9" s="25"/>
    </row>
    <row r="10" spans="1:25" ht="13.2" customHeight="1" x14ac:dyDescent="0.45">
      <c r="B10" s="25" t="s">
        <v>51</v>
      </c>
      <c r="C10" s="25">
        <v>2</v>
      </c>
      <c r="D10" s="42" t="s">
        <v>52</v>
      </c>
      <c r="E10" s="25" t="s">
        <v>53</v>
      </c>
      <c r="F10" s="22" t="s">
        <v>54</v>
      </c>
      <c r="G10" s="24">
        <v>300</v>
      </c>
      <c r="H10" s="25">
        <v>6</v>
      </c>
      <c r="I10" s="25" t="s">
        <v>55</v>
      </c>
      <c r="J10" s="67">
        <f ca="1">S10</f>
        <v>48.568872172915867</v>
      </c>
      <c r="K10" s="20"/>
      <c r="L10" s="31"/>
      <c r="M10" s="20"/>
      <c r="N10" s="125" t="str">
        <f>E10</f>
        <v>03860C</v>
      </c>
      <c r="O10" s="125" t="s">
        <v>160</v>
      </c>
      <c r="P10" s="125" t="str">
        <f>D10</f>
        <v>01</v>
      </c>
      <c r="Q10" s="177" t="str">
        <f>F10</f>
        <v>Electrician</v>
      </c>
      <c r="R10" s="125"/>
      <c r="S10" s="128" cm="1">
        <f t="array" aca="1" ref="S10" ca="1">IF(O10="Y",((VLOOKUP(N10,INDIRECT($O$3),6,0)-VLOOKUP(N10,INDIRECT($O$3),7,0))*INDIRECT($N$2)+T10),VLOOKUP(N10,INDIRECT($O$3),6,0))</f>
        <v>48.568872172915867</v>
      </c>
      <c r="T10" s="135">
        <v>7.0000000000000007E-2</v>
      </c>
      <c r="U10" s="62" t="str">
        <f>N10</f>
        <v>03860C</v>
      </c>
      <c r="V10" s="62" t="str">
        <f>O10</f>
        <v>Y</v>
      </c>
      <c r="W10" s="62" t="str">
        <f>P10</f>
        <v>01</v>
      </c>
      <c r="X10" s="62" t="str">
        <f>Q10</f>
        <v>Electrician</v>
      </c>
      <c r="Y10" s="118">
        <f ca="1">ROUND(S10,3)</f>
        <v>48.569000000000003</v>
      </c>
    </row>
    <row r="11" spans="1:25" ht="13.2" customHeight="1" x14ac:dyDescent="0.45">
      <c r="B11" s="25" t="s">
        <v>51</v>
      </c>
      <c r="C11" s="25">
        <v>2</v>
      </c>
      <c r="D11" s="42" t="s">
        <v>56</v>
      </c>
      <c r="E11" s="25" t="s">
        <v>57</v>
      </c>
      <c r="F11" s="22" t="s">
        <v>58</v>
      </c>
      <c r="G11" s="24">
        <v>363</v>
      </c>
      <c r="H11" s="25">
        <v>8</v>
      </c>
      <c r="I11" s="25" t="s">
        <v>55</v>
      </c>
      <c r="J11" s="67">
        <f t="shared" ref="J11:J12" ca="1" si="0">S11</f>
        <v>51.517178378749989</v>
      </c>
      <c r="K11" s="20"/>
      <c r="L11" s="31"/>
      <c r="M11" s="20"/>
      <c r="N11" s="125" t="str">
        <f t="shared" ref="N11:N13" si="1">E11</f>
        <v>04600C</v>
      </c>
      <c r="O11" s="125" t="s">
        <v>160</v>
      </c>
      <c r="P11" s="125" t="str">
        <f t="shared" ref="P11:P14" si="2">D11</f>
        <v>02</v>
      </c>
      <c r="Q11" s="177" t="str">
        <f t="shared" ref="Q11:Q14" si="3">F11</f>
        <v>Foreman, Electrician</v>
      </c>
      <c r="R11" s="125"/>
      <c r="S11" s="128" cm="1">
        <f t="array" aca="1" ref="S11" ca="1">IF(O11="Y",((VLOOKUP(N11,INDIRECT($O$3),6,0)-VLOOKUP(N11,INDIRECT($O$3),7,0))*INDIRECT($N$2)+T11),VLOOKUP(N11,INDIRECT($O$3),6,0))</f>
        <v>51.517178378749989</v>
      </c>
      <c r="T11" s="135">
        <v>7.0000000000000007E-2</v>
      </c>
      <c r="U11" s="62" t="str">
        <f t="shared" ref="U11:U14" si="4">N11</f>
        <v>04600C</v>
      </c>
      <c r="V11" s="62" t="str">
        <f t="shared" ref="V11:V14" si="5">O11</f>
        <v>Y</v>
      </c>
      <c r="W11" s="62" t="str">
        <f t="shared" ref="W11:W14" si="6">P11</f>
        <v>02</v>
      </c>
      <c r="X11" s="62" t="str">
        <f t="shared" ref="X11:X14" si="7">Q11</f>
        <v>Foreman, Electrician</v>
      </c>
      <c r="Y11" s="118">
        <f t="shared" ref="Y11:Y14" ca="1" si="8">ROUND(S11,3)</f>
        <v>51.517000000000003</v>
      </c>
    </row>
    <row r="12" spans="1:25" ht="13.2" customHeight="1" x14ac:dyDescent="0.45">
      <c r="B12" s="25" t="s">
        <v>51</v>
      </c>
      <c r="C12" s="25">
        <v>2</v>
      </c>
      <c r="D12" s="42" t="s">
        <v>59</v>
      </c>
      <c r="E12" s="25" t="s">
        <v>60</v>
      </c>
      <c r="F12" s="22" t="s">
        <v>61</v>
      </c>
      <c r="G12" s="24">
        <v>363</v>
      </c>
      <c r="H12" s="25">
        <v>8</v>
      </c>
      <c r="I12" s="25" t="s">
        <v>55</v>
      </c>
      <c r="J12" s="67">
        <f t="shared" ca="1" si="0"/>
        <v>52.991420964999989</v>
      </c>
      <c r="K12" s="20"/>
      <c r="L12" s="31"/>
      <c r="M12" s="20"/>
      <c r="N12" s="125" t="str">
        <f t="shared" si="1"/>
        <v>04605C</v>
      </c>
      <c r="O12" s="125" t="s">
        <v>160</v>
      </c>
      <c r="P12" s="125" t="str">
        <f t="shared" si="2"/>
        <v>03</v>
      </c>
      <c r="Q12" s="177" t="str">
        <f t="shared" si="3"/>
        <v xml:space="preserve">Foreman, (Master) Electrician </v>
      </c>
      <c r="R12" s="125"/>
      <c r="S12" s="128" cm="1">
        <f t="array" aca="1" ref="S12" ca="1">IF(O12="Y",((VLOOKUP(N12,INDIRECT($O$3),6,0)-VLOOKUP(N12,INDIRECT($O$3),7,0))*INDIRECT($N$2)+T12),VLOOKUP(N12,INDIRECT($O$3),6,0))</f>
        <v>52.991420964999989</v>
      </c>
      <c r="T12" s="135">
        <v>7.0000000000000007E-2</v>
      </c>
      <c r="U12" s="62" t="str">
        <f t="shared" si="4"/>
        <v>04605C</v>
      </c>
      <c r="V12" s="62" t="str">
        <f t="shared" si="5"/>
        <v>Y</v>
      </c>
      <c r="W12" s="62" t="str">
        <f t="shared" si="6"/>
        <v>03</v>
      </c>
      <c r="X12" s="62" t="str">
        <f t="shared" si="7"/>
        <v xml:space="preserve">Foreman, (Master) Electrician </v>
      </c>
      <c r="Y12" s="118">
        <f t="shared" ca="1" si="8"/>
        <v>52.991</v>
      </c>
    </row>
    <row r="13" spans="1:25" ht="13.2" customHeight="1" x14ac:dyDescent="0.45">
      <c r="B13" s="25" t="s">
        <v>51</v>
      </c>
      <c r="C13" s="25">
        <v>2</v>
      </c>
      <c r="D13" s="42" t="s">
        <v>62</v>
      </c>
      <c r="E13" s="25" t="s">
        <v>63</v>
      </c>
      <c r="F13" s="22" t="s">
        <v>64</v>
      </c>
      <c r="G13" s="24">
        <v>475</v>
      </c>
      <c r="H13" s="25">
        <v>10</v>
      </c>
      <c r="I13" s="25" t="s">
        <v>55</v>
      </c>
      <c r="J13" s="67">
        <f ca="1">S13</f>
        <v>54.465663551249996</v>
      </c>
      <c r="K13" s="20"/>
      <c r="L13" s="31"/>
      <c r="M13" s="20"/>
      <c r="N13" s="125" t="str">
        <f t="shared" si="1"/>
        <v>05140C</v>
      </c>
      <c r="O13" s="125" t="s">
        <v>160</v>
      </c>
      <c r="P13" s="125" t="str">
        <f t="shared" si="2"/>
        <v>CSU N42</v>
      </c>
      <c r="Q13" s="177" t="str">
        <f t="shared" si="3"/>
        <v>*General Foreman, Electrician</v>
      </c>
      <c r="R13" s="125"/>
      <c r="S13" s="128" cm="1">
        <f t="array" aca="1" ref="S13" ca="1">IF(O13="Y",((VLOOKUP(N13,INDIRECT($O$3),6,0)-VLOOKUP(N13,INDIRECT($O$3),7,0))*INDIRECT($N$2)+T13),VLOOKUP(N13,INDIRECT($O$3),6,0))</f>
        <v>54.465663551249996</v>
      </c>
      <c r="T13" s="135">
        <v>7.0000000000000007E-2</v>
      </c>
      <c r="U13" s="62" t="str">
        <f t="shared" si="4"/>
        <v>05140C</v>
      </c>
      <c r="V13" s="62" t="str">
        <f t="shared" si="5"/>
        <v>Y</v>
      </c>
      <c r="W13" s="62" t="str">
        <f t="shared" si="6"/>
        <v>CSU N42</v>
      </c>
      <c r="X13" s="62" t="str">
        <f t="shared" si="7"/>
        <v>*General Foreman, Electrician</v>
      </c>
      <c r="Y13" s="118">
        <f t="shared" ca="1" si="8"/>
        <v>54.466000000000001</v>
      </c>
    </row>
    <row r="14" spans="1:25" ht="13.2" customHeight="1" x14ac:dyDescent="0.45">
      <c r="B14" s="25" t="s">
        <v>51</v>
      </c>
      <c r="C14" s="25">
        <v>2</v>
      </c>
      <c r="D14" s="42" t="s">
        <v>62</v>
      </c>
      <c r="E14" s="25" t="s">
        <v>99</v>
      </c>
      <c r="F14" s="22" t="s">
        <v>100</v>
      </c>
      <c r="G14" s="24"/>
      <c r="H14" s="25">
        <v>10</v>
      </c>
      <c r="I14" s="25" t="s">
        <v>55</v>
      </c>
      <c r="J14" s="67">
        <f ca="1">S14</f>
        <v>54.465663551249996</v>
      </c>
      <c r="K14" s="20"/>
      <c r="L14" s="31"/>
      <c r="M14" s="20"/>
      <c r="N14" s="121" t="s">
        <v>99</v>
      </c>
      <c r="O14" s="121" t="s">
        <v>160</v>
      </c>
      <c r="P14" s="125" t="str">
        <f t="shared" si="2"/>
        <v>CSU N42</v>
      </c>
      <c r="Q14" s="177" t="str">
        <f t="shared" si="3"/>
        <v>*Supervisor Water Plant Electrical and Control Systems</v>
      </c>
      <c r="S14" s="128" cm="1">
        <f t="array" aca="1" ref="S14" ca="1">IF(O14="Y",((VLOOKUP(N14,INDIRECT($O$3),6,0)-VLOOKUP(N14,INDIRECT($O$3),7,0))*INDIRECT($N$2)+T14),VLOOKUP(N14,INDIRECT($O$3),6,0))</f>
        <v>54.465663551249996</v>
      </c>
      <c r="T14" s="135">
        <v>7.0000000000000007E-2</v>
      </c>
      <c r="U14" s="62" t="str">
        <f t="shared" si="4"/>
        <v>10375C</v>
      </c>
      <c r="V14" s="62" t="str">
        <f t="shared" si="5"/>
        <v>Y</v>
      </c>
      <c r="W14" s="62" t="str">
        <f t="shared" si="6"/>
        <v>CSU N42</v>
      </c>
      <c r="X14" s="62" t="str">
        <f t="shared" si="7"/>
        <v>*Supervisor Water Plant Electrical and Control Systems</v>
      </c>
      <c r="Y14" s="118">
        <f t="shared" ca="1" si="8"/>
        <v>54.466000000000001</v>
      </c>
    </row>
    <row r="15" spans="1:25" ht="13.2" customHeight="1" x14ac:dyDescent="0.45">
      <c r="B15" s="25"/>
      <c r="C15" s="25"/>
      <c r="D15" s="42"/>
      <c r="E15" s="25"/>
      <c r="F15" s="22"/>
      <c r="G15" s="24"/>
      <c r="J15" s="67"/>
      <c r="K15" s="20"/>
      <c r="L15" s="31"/>
      <c r="M15" s="20"/>
      <c r="N15" s="125"/>
      <c r="O15" s="125"/>
      <c r="P15" s="125"/>
      <c r="Q15" s="125"/>
      <c r="R15" s="125"/>
    </row>
    <row r="16" spans="1:25" ht="13.2" customHeight="1" x14ac:dyDescent="0.45">
      <c r="B16" s="18"/>
      <c r="C16" s="18"/>
      <c r="D16" s="32"/>
      <c r="E16" s="18"/>
      <c r="F16" s="22" t="s">
        <v>101</v>
      </c>
      <c r="G16" s="23"/>
      <c r="H16" s="18"/>
      <c r="I16" s="18"/>
      <c r="J16" s="30"/>
      <c r="K16" s="20"/>
      <c r="L16" s="31"/>
      <c r="M16" s="20"/>
      <c r="N16" s="125"/>
      <c r="O16" s="125"/>
      <c r="P16" s="125"/>
      <c r="Q16" s="125"/>
      <c r="R16" s="125"/>
    </row>
    <row r="17" spans="3:25" ht="13.2" customHeight="1" x14ac:dyDescent="0.45">
      <c r="C17" s="1" t="s">
        <v>66</v>
      </c>
      <c r="D17" s="2"/>
      <c r="H17" s="2"/>
      <c r="I17" s="2"/>
      <c r="J17" s="2"/>
      <c r="K17" s="3"/>
      <c r="L17" s="3"/>
      <c r="M17" s="3"/>
      <c r="N17" s="129"/>
      <c r="O17" s="129"/>
      <c r="P17" s="129"/>
      <c r="Q17" s="129"/>
      <c r="R17" s="129"/>
      <c r="S17" s="130"/>
    </row>
    <row r="18" spans="3:25" ht="13.2" customHeight="1" x14ac:dyDescent="0.45">
      <c r="C18" s="8" t="s">
        <v>67</v>
      </c>
      <c r="G18" s="5"/>
      <c r="H18" s="6"/>
      <c r="I18" s="6"/>
      <c r="J18" s="7"/>
      <c r="K18" s="7"/>
      <c r="L18" s="3"/>
      <c r="M18" s="3"/>
      <c r="N18" s="129"/>
      <c r="O18" s="129"/>
      <c r="P18" s="129"/>
      <c r="Q18" s="129"/>
      <c r="R18" s="129"/>
      <c r="S18" s="130"/>
    </row>
    <row r="19" spans="3:25" ht="13.2" customHeight="1" x14ac:dyDescent="0.45">
      <c r="C19" s="144">
        <f ca="1">S19</f>
        <v>0.27943359298749992</v>
      </c>
      <c r="D19" s="5" t="s">
        <v>68</v>
      </c>
      <c r="I19" s="10"/>
      <c r="J19" s="11"/>
      <c r="K19" s="11"/>
      <c r="L19" s="12"/>
      <c r="M19" s="12"/>
      <c r="N19" s="129" t="s">
        <v>69</v>
      </c>
      <c r="O19" s="129" t="s">
        <v>160</v>
      </c>
      <c r="P19" s="129"/>
      <c r="Q19" s="124" t="s">
        <v>102</v>
      </c>
      <c r="R19" s="129"/>
      <c r="S19" s="128" cm="1">
        <f t="array" aca="1" ref="S19" ca="1">IF(O19="Y",VLOOKUP(N19,INDIRECT($O$3),6,0)*INDIRECT($N$2),VLOOKUP(N19,INDIRECT($O$3),6,0))</f>
        <v>0.27943359298749992</v>
      </c>
      <c r="U19" s="62" t="str">
        <f t="shared" ref="U19:U22" si="9">N19</f>
        <v>LNG10</v>
      </c>
      <c r="V19" s="62" t="str">
        <f t="shared" ref="V19:V22" si="10">O19</f>
        <v>Y</v>
      </c>
      <c r="W19" s="62">
        <f t="shared" ref="W19:W22" si="11">P19</f>
        <v>0</v>
      </c>
      <c r="X19" s="62" t="str">
        <f t="shared" ref="X19:X22" si="12">Q19</f>
        <v>Longevity - 10 years</v>
      </c>
      <c r="Y19" s="118">
        <f t="shared" ref="Y19:Y22" ca="1" si="13">ROUND(S19,3)</f>
        <v>0.27900000000000003</v>
      </c>
    </row>
    <row r="20" spans="3:25" ht="13.2" customHeight="1" x14ac:dyDescent="0.45">
      <c r="C20" s="144">
        <f ca="1">S20</f>
        <v>0.38608763611249997</v>
      </c>
      <c r="D20" s="5" t="s">
        <v>70</v>
      </c>
      <c r="I20" s="10"/>
      <c r="J20" s="11"/>
      <c r="K20" s="11"/>
      <c r="L20" s="12"/>
      <c r="M20" s="12"/>
      <c r="N20" s="129" t="s">
        <v>71</v>
      </c>
      <c r="O20" s="129" t="s">
        <v>160</v>
      </c>
      <c r="P20" s="129"/>
      <c r="Q20" s="124" t="s">
        <v>103</v>
      </c>
      <c r="R20" s="129"/>
      <c r="S20" s="128" cm="1">
        <f t="array" aca="1" ref="S20" ca="1">IF(O20="Y",VLOOKUP(N20,INDIRECT($O$3),6,0)*INDIRECT($N$2),VLOOKUP(N20,INDIRECT($O$3),6,0))</f>
        <v>0.38608763611249997</v>
      </c>
      <c r="U20" s="62" t="str">
        <f t="shared" si="9"/>
        <v>LNG15</v>
      </c>
      <c r="V20" s="62" t="str">
        <f t="shared" si="10"/>
        <v>Y</v>
      </c>
      <c r="W20" s="62">
        <f t="shared" si="11"/>
        <v>0</v>
      </c>
      <c r="X20" s="62" t="str">
        <f t="shared" si="12"/>
        <v>Longevity - 15 years</v>
      </c>
      <c r="Y20" s="118">
        <f t="shared" ca="1" si="13"/>
        <v>0.38600000000000001</v>
      </c>
    </row>
    <row r="21" spans="3:25" ht="13.2" customHeight="1" x14ac:dyDescent="0.45">
      <c r="C21" s="144">
        <f ca="1">S21</f>
        <v>0.61539382883124982</v>
      </c>
      <c r="D21" s="5" t="s">
        <v>72</v>
      </c>
      <c r="I21" s="10"/>
      <c r="J21" s="11"/>
      <c r="K21" s="11"/>
      <c r="L21" s="12"/>
      <c r="M21" s="12"/>
      <c r="N21" s="129" t="s">
        <v>73</v>
      </c>
      <c r="O21" s="129" t="s">
        <v>160</v>
      </c>
      <c r="P21" s="129"/>
      <c r="Q21" s="124" t="s">
        <v>104</v>
      </c>
      <c r="R21" s="129"/>
      <c r="S21" s="128" cm="1">
        <f t="array" aca="1" ref="S21" ca="1">IF(O21="Y",VLOOKUP(N21,INDIRECT($O$3),6,0)*INDIRECT($N$2),VLOOKUP(N21,INDIRECT($O$3),6,0))</f>
        <v>0.61539382883124982</v>
      </c>
      <c r="U21" s="62" t="str">
        <f t="shared" si="9"/>
        <v>LNG20</v>
      </c>
      <c r="V21" s="62" t="str">
        <f t="shared" si="10"/>
        <v>Y</v>
      </c>
      <c r="W21" s="62">
        <f t="shared" si="11"/>
        <v>0</v>
      </c>
      <c r="X21" s="62" t="str">
        <f t="shared" si="12"/>
        <v>Longevity - 20 years</v>
      </c>
      <c r="Y21" s="118">
        <f t="shared" ca="1" si="13"/>
        <v>0.61499999999999999</v>
      </c>
    </row>
    <row r="22" spans="3:25" ht="13.2" customHeight="1" x14ac:dyDescent="0.45">
      <c r="C22" s="144">
        <f ca="1">S22</f>
        <v>0.9225574730312498</v>
      </c>
      <c r="D22" s="5" t="s">
        <v>74</v>
      </c>
      <c r="I22" s="10"/>
      <c r="J22" s="11"/>
      <c r="K22" s="11"/>
      <c r="L22" s="12"/>
      <c r="M22" s="12"/>
      <c r="N22" s="129" t="s">
        <v>75</v>
      </c>
      <c r="O22" s="129" t="s">
        <v>160</v>
      </c>
      <c r="P22" s="129"/>
      <c r="Q22" s="124" t="s">
        <v>105</v>
      </c>
      <c r="R22" s="129"/>
      <c r="S22" s="128" cm="1">
        <f t="array" aca="1" ref="S22" ca="1">IF(O22="Y",VLOOKUP(N22,INDIRECT($O$3),6,0)*INDIRECT($N$2),VLOOKUP(N22,INDIRECT($O$3),6,0))</f>
        <v>0.9225574730312498</v>
      </c>
      <c r="U22" s="62" t="str">
        <f t="shared" si="9"/>
        <v>LNG25</v>
      </c>
      <c r="V22" s="62" t="str">
        <f t="shared" si="10"/>
        <v>Y</v>
      </c>
      <c r="W22" s="62">
        <f t="shared" si="11"/>
        <v>0</v>
      </c>
      <c r="X22" s="62" t="str">
        <f t="shared" si="12"/>
        <v>Longevity - 25 years</v>
      </c>
      <c r="Y22" s="118">
        <f t="shared" ca="1" si="13"/>
        <v>0.92300000000000004</v>
      </c>
    </row>
    <row r="23" spans="3:25" ht="13.2" customHeight="1" x14ac:dyDescent="0.45"/>
    <row r="24" spans="3:25" ht="13.2" customHeight="1" x14ac:dyDescent="0.45">
      <c r="C24" s="1" t="s">
        <v>76</v>
      </c>
    </row>
    <row r="25" spans="3:25" ht="13.2" customHeight="1" x14ac:dyDescent="0.45">
      <c r="C25" s="46" t="str">
        <f ca="1">"Provided that a night shift differential of "&amp;TEXT(S25,"$#.000")&amp;" per hour for each hour, or fraction thereof, they"</f>
        <v>Provided that a night shift differential of $2.264 per hour for each hour, or fraction thereof, they</v>
      </c>
      <c r="G25" s="33"/>
      <c r="H25" s="19"/>
      <c r="N25" s="121" t="s">
        <v>79</v>
      </c>
      <c r="O25" s="129" t="s">
        <v>160</v>
      </c>
      <c r="P25" s="129"/>
      <c r="Q25" s="124" t="s">
        <v>106</v>
      </c>
      <c r="S25" s="128" cm="1">
        <f t="array" aca="1" ref="S25" ca="1">IF(O25="Y",VLOOKUP(N25,INDIRECT($O$3),6,0)*INDIRECT($N$2),VLOOKUP(N25,INDIRECT($O$3),6,0))</f>
        <v>2.2644366505002935</v>
      </c>
      <c r="U25" s="62" t="str">
        <f t="shared" ref="U25:U26" si="14">N25</f>
        <v>CELEVE</v>
      </c>
      <c r="V25" s="62" t="str">
        <f t="shared" ref="V25:V26" si="15">O25</f>
        <v>Y</v>
      </c>
      <c r="W25" s="62">
        <f t="shared" ref="W25:W26" si="16">P25</f>
        <v>0</v>
      </c>
      <c r="X25" s="62" t="str">
        <f t="shared" ref="X25:X26" si="17">Q25</f>
        <v>TL-Evening Shift Premium-CEL</v>
      </c>
      <c r="Y25" s="118">
        <f t="shared" ref="Y25:Y26" ca="1" si="18">ROUND(S25,3)</f>
        <v>2.2639999999999998</v>
      </c>
    </row>
    <row r="26" spans="3:25" ht="13.2" customHeight="1" x14ac:dyDescent="0.45">
      <c r="C26" s="46" t="s">
        <v>80</v>
      </c>
      <c r="N26" s="121" t="s">
        <v>81</v>
      </c>
      <c r="O26" s="129" t="s">
        <v>160</v>
      </c>
      <c r="P26" s="129"/>
      <c r="Q26" s="124" t="s">
        <v>107</v>
      </c>
      <c r="S26" s="128" cm="1">
        <f t="array" aca="1" ref="S26" ca="1">IF(O26="Y",VLOOKUP(N26,INDIRECT($O$3),6,0)*INDIRECT($N$2),VLOOKUP(N26,INDIRECT($O$3),6,0))</f>
        <v>2.2644366505002935</v>
      </c>
      <c r="U26" s="62" t="str">
        <f t="shared" si="14"/>
        <v>CELSGT</v>
      </c>
      <c r="V26" s="62" t="str">
        <f t="shared" si="15"/>
        <v>Y</v>
      </c>
      <c r="W26" s="62">
        <f t="shared" si="16"/>
        <v>0</v>
      </c>
      <c r="X26" s="62" t="str">
        <f t="shared" si="17"/>
        <v>TL-Signal Truck Premium-CEL</v>
      </c>
      <c r="Y26" s="118">
        <f t="shared" ca="1" si="18"/>
        <v>2.2639999999999998</v>
      </c>
    </row>
    <row r="27" spans="3:25" ht="13.2" customHeight="1" x14ac:dyDescent="0.45">
      <c r="C27" s="46" t="s">
        <v>82</v>
      </c>
    </row>
    <row r="28" spans="3:25" ht="13.2" customHeight="1" x14ac:dyDescent="0.45">
      <c r="C28" s="46"/>
    </row>
    <row r="29" spans="3:25" ht="13.2" customHeight="1" x14ac:dyDescent="0.45">
      <c r="C29" s="46" t="str">
        <f ca="1">"Provided that a weekend shift differential of "&amp;TEXT(S29,"$#.000")&amp;" per hour shall be paid to employees who work"</f>
        <v>Provided that a weekend shift differential of $1.535 per hour shall be paid to employees who work</v>
      </c>
      <c r="G29" s="35"/>
      <c r="H29" s="19"/>
      <c r="N29" s="121" t="s">
        <v>85</v>
      </c>
      <c r="O29" s="129" t="s">
        <v>160</v>
      </c>
      <c r="P29" s="129"/>
      <c r="Q29" s="124" t="s">
        <v>108</v>
      </c>
      <c r="S29" s="128" cm="1">
        <f t="array" aca="1" ref="S29" ca="1">IF(O29="Y",VLOOKUP(N29,INDIRECT($O$3),6,0)*INDIRECT($N$2),VLOOKUP(N29,INDIRECT($O$3),6,0))</f>
        <v>1.5354117691075277</v>
      </c>
      <c r="U29" s="62" t="str">
        <f t="shared" ref="U29" si="19">N29</f>
        <v>CELWKE</v>
      </c>
      <c r="V29" s="62" t="str">
        <f t="shared" ref="V29" si="20">O29</f>
        <v>Y</v>
      </c>
      <c r="W29" s="62">
        <f t="shared" ref="W29" si="21">P29</f>
        <v>0</v>
      </c>
      <c r="X29" s="62" t="str">
        <f t="shared" ref="X29" si="22">Q29</f>
        <v>TL-Wkend Shift dif CEL</v>
      </c>
      <c r="Y29" s="118">
        <f t="shared" ref="Y29" ca="1" si="23">ROUND(S29,3)</f>
        <v>1.5349999999999999</v>
      </c>
    </row>
    <row r="30" spans="3:25" ht="13.2" customHeight="1" x14ac:dyDescent="0.45">
      <c r="C30" s="46" t="s">
        <v>86</v>
      </c>
    </row>
    <row r="31" spans="3:25" ht="13.2" customHeight="1" x14ac:dyDescent="0.45">
      <c r="F31" s="19"/>
    </row>
    <row r="32" spans="3:25" ht="13.2" customHeight="1" x14ac:dyDescent="0.45">
      <c r="C32" s="68" t="str">
        <f ca="1">"Provided that a premium of "&amp;TEXT(S32,"$#.000")&amp;" per hour shall be paid to employees for hours worked while performing welding work."</f>
        <v>Provided that a premium of $1.051 per hour shall be paid to employees for hours worked while performing welding work.</v>
      </c>
      <c r="D32" s="3"/>
      <c r="N32" s="129" t="s">
        <v>136</v>
      </c>
      <c r="O32" s="129" t="s">
        <v>160</v>
      </c>
      <c r="P32" s="129"/>
      <c r="Q32" s="124" t="s">
        <v>137</v>
      </c>
      <c r="R32" s="129"/>
      <c r="S32" s="128" cm="1">
        <f t="array" aca="1" ref="S32" ca="1">IF(O32="Y",VLOOKUP(N32,INDIRECT($O$3),6,0)*INDIRECT($N$2),VLOOKUP(N32,INDIRECT($O$3),6,0))</f>
        <v>1.0507787499999999</v>
      </c>
      <c r="U32" s="62" t="str">
        <f t="shared" ref="U32" si="24">N32</f>
        <v>CELWLD</v>
      </c>
      <c r="V32" s="62" t="str">
        <f t="shared" ref="V32" si="25">O32</f>
        <v>Y</v>
      </c>
      <c r="W32" s="62">
        <f t="shared" ref="W32" si="26">P32</f>
        <v>0</v>
      </c>
      <c r="X32" s="62" t="str">
        <f t="shared" ref="X32" si="27">Q32</f>
        <v>Welding premium - add to COMET</v>
      </c>
      <c r="Y32" s="118">
        <f t="shared" ref="Y32" ca="1" si="28">ROUND(S32,3)</f>
        <v>1.0509999999999999</v>
      </c>
    </row>
    <row r="33" spans="1:25" ht="13.2" customHeight="1" x14ac:dyDescent="0.45">
      <c r="C33" s="68"/>
      <c r="D33" s="3"/>
      <c r="N33" s="129"/>
      <c r="O33" s="129"/>
      <c r="P33" s="129"/>
      <c r="Q33" s="129"/>
      <c r="R33" s="129"/>
      <c r="S33" s="130"/>
    </row>
    <row r="34" spans="1:25" s="12" customFormat="1" x14ac:dyDescent="0.45">
      <c r="C34" s="12" t="s">
        <v>109</v>
      </c>
      <c r="N34" s="129" t="s">
        <v>87</v>
      </c>
      <c r="O34" s="129" t="s">
        <v>51</v>
      </c>
      <c r="P34" s="129"/>
      <c r="Q34" s="124" t="s">
        <v>110</v>
      </c>
      <c r="R34" s="129"/>
      <c r="S34" s="128" cm="1">
        <f t="array" aca="1" ref="S34" ca="1">IF(O34="Y",VLOOKUP(N34,INDIRECT($O$3),6,0)*INDIRECT($N$2),VLOOKUP(N34,INDIRECT($O$3),6,0))</f>
        <v>35</v>
      </c>
      <c r="T34" s="133"/>
      <c r="U34" s="62" t="str">
        <f t="shared" ref="U34:U35" si="29">N34</f>
        <v>CELCDY</v>
      </c>
      <c r="V34" s="62" t="str">
        <f t="shared" ref="V34:V35" si="30">O34</f>
        <v>N</v>
      </c>
      <c r="W34" s="62">
        <f t="shared" ref="W34:W35" si="31">P34</f>
        <v>0</v>
      </c>
      <c r="X34" s="62" t="str">
        <f t="shared" ref="X34:X35" si="32">Q34</f>
        <v>TL-On call by the day-CEL</v>
      </c>
      <c r="Y34" s="118">
        <f t="shared" ref="Y34:Y35" ca="1" si="33">S34</f>
        <v>35</v>
      </c>
    </row>
    <row r="35" spans="1:25" s="12" customFormat="1" x14ac:dyDescent="0.45">
      <c r="C35" s="68" t="s">
        <v>111</v>
      </c>
      <c r="N35" s="129" t="s">
        <v>88</v>
      </c>
      <c r="O35" s="129" t="s">
        <v>51</v>
      </c>
      <c r="P35" s="129"/>
      <c r="Q35" s="124" t="s">
        <v>112</v>
      </c>
      <c r="R35" s="129"/>
      <c r="S35" s="128" cm="1">
        <f t="array" aca="1" ref="S35" ca="1">IF(O35="Y",VLOOKUP(N35,INDIRECT($O$3),6,0)*INDIRECT($N$2),VLOOKUP(N35,INDIRECT($O$3),6,0))</f>
        <v>45</v>
      </c>
      <c r="T35" s="133"/>
      <c r="U35" s="62" t="str">
        <f t="shared" si="29"/>
        <v>CELCWE</v>
      </c>
      <c r="V35" s="62" t="str">
        <f t="shared" si="30"/>
        <v>N</v>
      </c>
      <c r="W35" s="62">
        <f t="shared" si="31"/>
        <v>0</v>
      </c>
      <c r="X35" s="62" t="str">
        <f t="shared" si="32"/>
        <v>TL-On call by day Weekend-CEL</v>
      </c>
      <c r="Y35" s="118">
        <f t="shared" ca="1" si="33"/>
        <v>45</v>
      </c>
    </row>
    <row r="36" spans="1:25" s="3" customFormat="1" x14ac:dyDescent="0.45">
      <c r="C36" s="68" t="s">
        <v>113</v>
      </c>
      <c r="N36" s="129"/>
      <c r="O36" s="129"/>
      <c r="P36" s="129"/>
      <c r="Q36" s="129"/>
      <c r="R36" s="129"/>
      <c r="S36" s="131"/>
      <c r="T36" s="134"/>
      <c r="U36" s="53"/>
      <c r="V36" s="53"/>
      <c r="W36" s="53"/>
      <c r="X36" s="53"/>
      <c r="Y36" s="53"/>
    </row>
    <row r="37" spans="1:25" s="3" customFormat="1" x14ac:dyDescent="0.45">
      <c r="C37" s="68" t="s">
        <v>114</v>
      </c>
      <c r="N37" s="129"/>
      <c r="O37" s="129"/>
      <c r="P37" s="129"/>
      <c r="Q37" s="129"/>
      <c r="R37" s="129"/>
      <c r="S37" s="131"/>
      <c r="T37" s="134"/>
      <c r="U37" s="53"/>
      <c r="V37" s="53"/>
      <c r="W37" s="53"/>
      <c r="X37" s="53"/>
      <c r="Y37" s="53"/>
    </row>
    <row r="38" spans="1:25" s="3" customFormat="1" x14ac:dyDescent="0.45">
      <c r="C38" s="68" t="s">
        <v>115</v>
      </c>
      <c r="N38" s="129"/>
      <c r="O38" s="129"/>
      <c r="P38" s="129"/>
      <c r="Q38" s="129"/>
      <c r="R38" s="129"/>
      <c r="S38" s="131"/>
      <c r="T38" s="134"/>
      <c r="U38" s="53"/>
      <c r="V38" s="53"/>
      <c r="W38" s="53"/>
      <c r="X38" s="53"/>
      <c r="Y38" s="53"/>
    </row>
    <row r="39" spans="1:25" s="3" customFormat="1" x14ac:dyDescent="0.45">
      <c r="N39" s="129"/>
      <c r="O39" s="129"/>
      <c r="P39" s="129"/>
      <c r="Q39" s="129"/>
      <c r="R39" s="129"/>
      <c r="S39" s="131"/>
      <c r="T39" s="134"/>
      <c r="U39" s="53"/>
      <c r="V39" s="53"/>
      <c r="W39" s="53"/>
      <c r="X39" s="53"/>
      <c r="Y39" s="53"/>
    </row>
    <row r="40" spans="1:25" s="3" customFormat="1" x14ac:dyDescent="0.45">
      <c r="N40" s="129"/>
      <c r="O40" s="129"/>
      <c r="P40" s="129"/>
      <c r="Q40" s="129"/>
      <c r="R40" s="129"/>
      <c r="S40" s="131"/>
      <c r="T40" s="134"/>
      <c r="U40" s="53"/>
      <c r="V40" s="53"/>
      <c r="W40" s="53"/>
      <c r="X40" s="53"/>
      <c r="Y40" s="53"/>
    </row>
    <row r="41" spans="1:25" s="3" customFormat="1" x14ac:dyDescent="0.45">
      <c r="N41" s="129"/>
      <c r="O41" s="129"/>
      <c r="P41" s="129"/>
      <c r="Q41" s="129"/>
      <c r="R41" s="129"/>
      <c r="S41" s="131"/>
      <c r="T41" s="134"/>
      <c r="U41" s="53"/>
      <c r="V41" s="53"/>
      <c r="W41" s="53"/>
      <c r="X41" s="53"/>
      <c r="Y41" s="53"/>
    </row>
    <row r="42" spans="1:25" s="3" customFormat="1" x14ac:dyDescent="0.45">
      <c r="A42" s="3" t="s">
        <v>161</v>
      </c>
      <c r="J42" s="3" t="s">
        <v>162</v>
      </c>
      <c r="N42" s="129"/>
      <c r="O42" s="129"/>
      <c r="P42" s="129"/>
      <c r="Q42" s="129"/>
      <c r="R42" s="129"/>
      <c r="S42" s="131"/>
      <c r="T42" s="134"/>
      <c r="U42" s="53"/>
      <c r="V42" s="53"/>
      <c r="W42" s="53"/>
      <c r="X42" s="53"/>
      <c r="Y42" s="53"/>
    </row>
    <row r="43" spans="1:25" s="3" customFormat="1" x14ac:dyDescent="0.45">
      <c r="N43" s="129"/>
      <c r="O43" s="129"/>
      <c r="P43" s="129"/>
      <c r="Q43" s="129"/>
      <c r="R43" s="129"/>
      <c r="S43" s="131"/>
      <c r="T43" s="134"/>
      <c r="U43" s="53"/>
      <c r="V43" s="53"/>
      <c r="W43" s="53"/>
      <c r="X43" s="53"/>
      <c r="Y43" s="53"/>
    </row>
    <row r="44" spans="1:25" s="3" customFormat="1" x14ac:dyDescent="0.45">
      <c r="N44" s="129"/>
      <c r="O44" s="129"/>
      <c r="P44" s="129"/>
      <c r="Q44" s="129"/>
      <c r="R44" s="129"/>
      <c r="S44" s="131"/>
      <c r="T44" s="134"/>
      <c r="U44" s="53"/>
      <c r="V44" s="53"/>
      <c r="W44" s="53"/>
      <c r="X44" s="53"/>
      <c r="Y44" s="53"/>
    </row>
    <row r="45" spans="1:25" s="3" customFormat="1" x14ac:dyDescent="0.45">
      <c r="N45" s="129"/>
      <c r="O45" s="129"/>
      <c r="P45" s="129"/>
      <c r="Q45" s="129"/>
      <c r="R45" s="129"/>
      <c r="S45" s="131"/>
      <c r="T45" s="134"/>
      <c r="U45" s="53"/>
      <c r="V45" s="53"/>
      <c r="W45" s="53"/>
      <c r="X45" s="53"/>
      <c r="Y45" s="53"/>
    </row>
    <row r="46" spans="1:25" s="3" customFormat="1" x14ac:dyDescent="0.45">
      <c r="N46" s="129"/>
      <c r="O46" s="129"/>
      <c r="P46" s="129"/>
      <c r="Q46" s="129"/>
      <c r="R46" s="129"/>
      <c r="S46" s="131"/>
      <c r="T46" s="134"/>
      <c r="U46" s="53"/>
      <c r="V46" s="53"/>
      <c r="W46" s="53"/>
      <c r="X46" s="53"/>
      <c r="Y46" s="53"/>
    </row>
    <row r="47" spans="1:25" s="3" customFormat="1" x14ac:dyDescent="0.45">
      <c r="B47" s="29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32"/>
      <c r="O47" s="132"/>
      <c r="P47" s="132"/>
      <c r="Q47" s="132"/>
      <c r="R47" s="132"/>
      <c r="S47" s="131"/>
      <c r="T47" s="134"/>
      <c r="U47" s="53"/>
      <c r="V47" s="53"/>
      <c r="W47" s="53"/>
      <c r="X47" s="53"/>
      <c r="Y47" s="53"/>
    </row>
    <row r="48" spans="1:25" s="3" customFormat="1" x14ac:dyDescent="0.4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2"/>
      <c r="O48" s="132"/>
      <c r="P48" s="132"/>
      <c r="Q48" s="132"/>
      <c r="R48" s="132"/>
      <c r="S48" s="131"/>
      <c r="T48" s="134"/>
      <c r="U48" s="53"/>
      <c r="V48" s="53"/>
      <c r="W48" s="53"/>
      <c r="X48" s="53"/>
      <c r="Y48" s="53"/>
    </row>
    <row r="49" spans="2:25" s="17" customFormat="1" x14ac:dyDescent="0.45">
      <c r="B49" s="14"/>
      <c r="C49" s="14"/>
      <c r="D49" s="14"/>
      <c r="E49" s="14"/>
      <c r="F49" s="14"/>
      <c r="G49" s="14"/>
      <c r="H49" s="14"/>
      <c r="I49" s="14"/>
      <c r="J49" s="16"/>
      <c r="K49" s="14"/>
      <c r="L49" s="14"/>
      <c r="M49" s="14"/>
      <c r="N49" s="132"/>
      <c r="O49" s="132"/>
      <c r="P49" s="132"/>
      <c r="Q49" s="132"/>
      <c r="R49" s="132"/>
      <c r="S49" s="131"/>
      <c r="T49" s="129"/>
      <c r="U49" s="49"/>
      <c r="V49" s="49"/>
      <c r="W49" s="49"/>
      <c r="X49" s="49"/>
      <c r="Y49" s="49"/>
    </row>
    <row r="50" spans="2:25" s="3" customFormat="1" x14ac:dyDescent="0.45">
      <c r="B50" s="17"/>
      <c r="C50" s="17"/>
      <c r="D50" s="17"/>
      <c r="G50" s="17"/>
      <c r="H50" s="17"/>
      <c r="J50" s="16"/>
      <c r="K50" s="16"/>
      <c r="L50" s="16"/>
      <c r="N50" s="129"/>
      <c r="O50" s="129"/>
      <c r="P50" s="129"/>
      <c r="Q50" s="129"/>
      <c r="R50" s="129"/>
      <c r="S50" s="131"/>
      <c r="T50" s="134"/>
      <c r="U50" s="53"/>
      <c r="V50" s="53"/>
      <c r="W50" s="53"/>
      <c r="X50" s="53"/>
      <c r="Y50" s="53"/>
    </row>
    <row r="51" spans="2:25" s="3" customFormat="1" x14ac:dyDescent="0.45">
      <c r="N51" s="129"/>
      <c r="O51" s="129"/>
      <c r="P51" s="129"/>
      <c r="Q51" s="129"/>
      <c r="R51" s="129"/>
      <c r="S51" s="131"/>
      <c r="T51" s="134"/>
      <c r="U51" s="53"/>
      <c r="V51" s="53"/>
      <c r="W51" s="53"/>
      <c r="X51" s="53"/>
      <c r="Y51" s="53"/>
    </row>
    <row r="52" spans="2:25" s="3" customFormat="1" x14ac:dyDescent="0.45">
      <c r="N52" s="129"/>
      <c r="O52" s="129"/>
      <c r="P52" s="129"/>
      <c r="Q52" s="129"/>
      <c r="R52" s="129"/>
      <c r="S52" s="131"/>
      <c r="T52" s="134"/>
      <c r="U52" s="53"/>
      <c r="V52" s="53"/>
      <c r="W52" s="53"/>
      <c r="X52" s="53"/>
      <c r="Y52" s="53"/>
    </row>
  </sheetData>
  <sheetProtection sheet="1" objects="1" scenarios="1"/>
  <pageMargins left="0" right="0" top="1" bottom="0.5" header="0.5" footer="0.5"/>
  <pageSetup scale="94" fitToHeight="2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C450-BB52-4E65-8AD4-3260EB80C259}">
  <sheetPr>
    <pageSetUpPr fitToPage="1"/>
  </sheetPr>
  <dimension ref="A1:Y52"/>
  <sheetViews>
    <sheetView showGridLines="0" zoomScaleNormal="100" workbookViewId="0">
      <selection activeCell="E40" sqref="E40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70312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5.703125" style="25" bestFit="1" customWidth="1"/>
    <col min="9" max="9" width="4.7031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7.1171875" style="121" hidden="1" customWidth="1"/>
    <col min="15" max="15" width="12.29296875" style="121" hidden="1" customWidth="1"/>
    <col min="16" max="16" width="8.1171875" style="121" hidden="1" customWidth="1"/>
    <col min="17" max="18" width="15.87890625" style="121" hidden="1" customWidth="1"/>
    <col min="19" max="19" width="16.5859375" style="128" hidden="1" customWidth="1"/>
    <col min="20" max="20" width="0" style="124" hidden="1" customWidth="1"/>
    <col min="21" max="25" width="0" style="62" hidden="1" customWidth="1"/>
    <col min="26" max="16384" width="11.41015625" style="21"/>
  </cols>
  <sheetData>
    <row r="1" spans="1:25" x14ac:dyDescent="0.45">
      <c r="A1" s="21" t="s">
        <v>138</v>
      </c>
    </row>
    <row r="2" spans="1:25" x14ac:dyDescent="0.45">
      <c r="B2" s="72" t="s">
        <v>89</v>
      </c>
      <c r="N2" s="119" t="s">
        <v>169</v>
      </c>
      <c r="O2" s="120">
        <v>1.0249999999999999</v>
      </c>
      <c r="P2" s="120"/>
      <c r="R2" s="122"/>
      <c r="S2" s="123"/>
    </row>
    <row r="3" spans="1:25" ht="13.2" customHeight="1" x14ac:dyDescent="0.45">
      <c r="B3" s="19" t="s">
        <v>140</v>
      </c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177" t="s">
        <v>141</v>
      </c>
      <c r="O3" s="124" t="s">
        <v>170</v>
      </c>
      <c r="P3" s="124"/>
      <c r="Q3" s="125"/>
      <c r="R3" s="126"/>
      <c r="S3" s="127"/>
    </row>
    <row r="4" spans="1:25" ht="13.2" customHeight="1" x14ac:dyDescent="0.45">
      <c r="B4" s="22" t="s">
        <v>171</v>
      </c>
      <c r="C4" s="18"/>
      <c r="D4" s="18"/>
      <c r="E4" s="18"/>
      <c r="F4" s="19"/>
      <c r="G4" s="18"/>
      <c r="H4" s="18"/>
      <c r="I4" s="18"/>
      <c r="J4" s="20"/>
      <c r="K4" s="20"/>
      <c r="L4" s="20"/>
      <c r="M4" s="20"/>
      <c r="N4" s="177"/>
      <c r="O4" s="124"/>
      <c r="P4" s="124"/>
      <c r="Q4" s="125"/>
      <c r="R4" s="126"/>
      <c r="S4" s="127"/>
    </row>
    <row r="5" spans="1:25" ht="13.2" customHeight="1" x14ac:dyDescent="0.45">
      <c r="B5" s="22" t="s">
        <v>144</v>
      </c>
      <c r="C5" s="18"/>
      <c r="D5" s="18"/>
      <c r="E5" s="18"/>
      <c r="F5" s="19"/>
      <c r="G5" s="18"/>
      <c r="H5" s="18"/>
      <c r="I5" s="18"/>
      <c r="J5" s="20"/>
      <c r="K5" s="20"/>
      <c r="L5" s="20"/>
      <c r="M5" s="20"/>
      <c r="N5" s="177"/>
      <c r="O5" s="124"/>
      <c r="P5" s="124"/>
      <c r="Q5" s="125"/>
      <c r="R5" s="126"/>
      <c r="S5" s="127"/>
    </row>
    <row r="6" spans="1:25" ht="13.2" customHeight="1" x14ac:dyDescent="0.45">
      <c r="B6" s="19"/>
      <c r="C6" s="18"/>
      <c r="D6" s="18"/>
      <c r="E6" s="18"/>
      <c r="F6" s="19"/>
      <c r="G6" s="18"/>
      <c r="H6" s="18"/>
      <c r="I6" s="18"/>
      <c r="J6" s="20"/>
      <c r="K6" s="20"/>
      <c r="L6" s="20"/>
      <c r="M6" s="20"/>
      <c r="Q6" s="125"/>
      <c r="R6" s="125"/>
    </row>
    <row r="7" spans="1:25" ht="13.2" customHeight="1" x14ac:dyDescent="0.45">
      <c r="B7" s="22"/>
      <c r="C7" s="18" t="s">
        <v>145</v>
      </c>
      <c r="D7" s="18"/>
      <c r="E7" s="18"/>
      <c r="F7" s="19"/>
      <c r="G7" s="18"/>
      <c r="H7" s="143" t="s">
        <v>146</v>
      </c>
      <c r="I7" s="18" t="s">
        <v>147</v>
      </c>
      <c r="J7" s="18" t="s">
        <v>42</v>
      </c>
      <c r="K7" s="20"/>
      <c r="L7" s="20"/>
      <c r="M7" s="20"/>
      <c r="N7" s="125" t="s">
        <v>148</v>
      </c>
      <c r="O7" s="126"/>
      <c r="P7" s="126"/>
      <c r="Q7" s="126"/>
      <c r="R7" s="126"/>
      <c r="S7" s="127"/>
      <c r="U7" s="62" t="s">
        <v>149</v>
      </c>
    </row>
    <row r="8" spans="1:25" ht="13.2" customHeight="1" x14ac:dyDescent="0.45">
      <c r="B8" s="36" t="s">
        <v>43</v>
      </c>
      <c r="C8" s="36" t="s">
        <v>150</v>
      </c>
      <c r="D8" s="36" t="s">
        <v>151</v>
      </c>
      <c r="E8" s="36" t="s">
        <v>152</v>
      </c>
      <c r="F8" s="37" t="s">
        <v>153</v>
      </c>
      <c r="G8" s="38" t="s">
        <v>47</v>
      </c>
      <c r="H8" s="39" t="s">
        <v>154</v>
      </c>
      <c r="I8" s="36" t="s">
        <v>155</v>
      </c>
      <c r="J8" s="36" t="s">
        <v>50</v>
      </c>
      <c r="K8" s="20"/>
      <c r="L8" s="20"/>
      <c r="M8" s="20"/>
      <c r="N8" s="136" t="s">
        <v>152</v>
      </c>
      <c r="O8" s="136" t="s">
        <v>156</v>
      </c>
      <c r="P8" s="136" t="s">
        <v>157</v>
      </c>
      <c r="Q8" s="137" t="s">
        <v>153</v>
      </c>
      <c r="R8" s="136"/>
      <c r="S8" s="138" t="s">
        <v>158</v>
      </c>
      <c r="T8" s="139" t="s">
        <v>159</v>
      </c>
      <c r="U8" s="140" t="s">
        <v>152</v>
      </c>
      <c r="V8" s="140" t="s">
        <v>156</v>
      </c>
      <c r="W8" s="140" t="s">
        <v>157</v>
      </c>
      <c r="X8" s="141" t="s">
        <v>153</v>
      </c>
      <c r="Y8" s="142" t="s">
        <v>158</v>
      </c>
    </row>
    <row r="9" spans="1:25" ht="13.2" customHeight="1" x14ac:dyDescent="0.45">
      <c r="G9" s="24"/>
      <c r="J9" s="25"/>
    </row>
    <row r="10" spans="1:25" ht="13.2" customHeight="1" x14ac:dyDescent="0.45">
      <c r="B10" s="25" t="s">
        <v>51</v>
      </c>
      <c r="C10" s="25">
        <v>2</v>
      </c>
      <c r="D10" s="42" t="s">
        <v>52</v>
      </c>
      <c r="E10" s="25" t="s">
        <v>53</v>
      </c>
      <c r="F10" s="22" t="s">
        <v>54</v>
      </c>
      <c r="G10" s="24">
        <v>300</v>
      </c>
      <c r="H10" s="25">
        <v>6</v>
      </c>
      <c r="I10" s="25" t="s">
        <v>55</v>
      </c>
      <c r="J10" s="67">
        <f ca="1">S10</f>
        <v>49.781343977238762</v>
      </c>
      <c r="K10" s="20"/>
      <c r="L10" s="31"/>
      <c r="M10" s="20"/>
      <c r="N10" s="125" t="str">
        <f>E10</f>
        <v>03860C</v>
      </c>
      <c r="O10" s="125" t="s">
        <v>160</v>
      </c>
      <c r="P10" s="125" t="str">
        <f>D10</f>
        <v>01</v>
      </c>
      <c r="Q10" s="177" t="str">
        <f>F10</f>
        <v>Electrician</v>
      </c>
      <c r="R10" s="125"/>
      <c r="S10" s="128" cm="1">
        <f t="array" aca="1" ref="S10" ca="1">IF(O10="Y",((VLOOKUP(N10,INDIRECT($O$3),6,0)-VLOOKUP(N10,INDIRECT($O$3),7,0))*INDIRECT($N$2)+T10),VLOOKUP(N10,INDIRECT($O$3),6,0))</f>
        <v>49.781343977238762</v>
      </c>
      <c r="T10" s="135">
        <v>7.0000000000000007E-2</v>
      </c>
      <c r="U10" s="62" t="str">
        <f>N10</f>
        <v>03860C</v>
      </c>
      <c r="V10" s="62" t="str">
        <f>O10</f>
        <v>Y</v>
      </c>
      <c r="W10" s="62" t="str">
        <f>P10</f>
        <v>01</v>
      </c>
      <c r="X10" s="62" t="str">
        <f>Q10</f>
        <v>Electrician</v>
      </c>
      <c r="Y10" s="118">
        <f ca="1">ROUND(S10,3)</f>
        <v>49.780999999999999</v>
      </c>
    </row>
    <row r="11" spans="1:25" ht="13.2" customHeight="1" x14ac:dyDescent="0.45">
      <c r="B11" s="25" t="s">
        <v>51</v>
      </c>
      <c r="C11" s="25">
        <v>2</v>
      </c>
      <c r="D11" s="42" t="s">
        <v>56</v>
      </c>
      <c r="E11" s="25" t="s">
        <v>57</v>
      </c>
      <c r="F11" s="22" t="s">
        <v>58</v>
      </c>
      <c r="G11" s="24">
        <v>363</v>
      </c>
      <c r="H11" s="25">
        <v>8</v>
      </c>
      <c r="I11" s="25" t="s">
        <v>55</v>
      </c>
      <c r="J11" s="67">
        <f t="shared" ref="J11:J12" ca="1" si="0">S11</f>
        <v>52.803357838218737</v>
      </c>
      <c r="K11" s="20"/>
      <c r="L11" s="31"/>
      <c r="M11" s="20"/>
      <c r="N11" s="125" t="str">
        <f t="shared" ref="N11:N13" si="1">E11</f>
        <v>04600C</v>
      </c>
      <c r="O11" s="125" t="s">
        <v>160</v>
      </c>
      <c r="P11" s="125" t="str">
        <f t="shared" ref="P11:P14" si="2">D11</f>
        <v>02</v>
      </c>
      <c r="Q11" s="177" t="str">
        <f t="shared" ref="Q11:Q14" si="3">F11</f>
        <v>Foreman, Electrician</v>
      </c>
      <c r="R11" s="125"/>
      <c r="S11" s="128" cm="1">
        <f t="array" aca="1" ref="S11" ca="1">IF(O11="Y",((VLOOKUP(N11,INDIRECT($O$3),6,0)-VLOOKUP(N11,INDIRECT($O$3),7,0))*INDIRECT($N$2)+T11),VLOOKUP(N11,INDIRECT($O$3),6,0))</f>
        <v>52.803357838218737</v>
      </c>
      <c r="T11" s="135">
        <v>7.0000000000000007E-2</v>
      </c>
      <c r="U11" s="62" t="str">
        <f t="shared" ref="U11:U14" si="4">N11</f>
        <v>04600C</v>
      </c>
      <c r="V11" s="62" t="str">
        <f t="shared" ref="V11:V14" si="5">O11</f>
        <v>Y</v>
      </c>
      <c r="W11" s="62" t="str">
        <f t="shared" ref="W11:W14" si="6">P11</f>
        <v>02</v>
      </c>
      <c r="X11" s="62" t="str">
        <f t="shared" ref="X11:X14" si="7">Q11</f>
        <v>Foreman, Electrician</v>
      </c>
      <c r="Y11" s="118">
        <f t="shared" ref="Y11:Y14" ca="1" si="8">ROUND(S11,3)</f>
        <v>52.802999999999997</v>
      </c>
    </row>
    <row r="12" spans="1:25" ht="13.2" customHeight="1" x14ac:dyDescent="0.45">
      <c r="B12" s="25" t="s">
        <v>51</v>
      </c>
      <c r="C12" s="25">
        <v>2</v>
      </c>
      <c r="D12" s="42" t="s">
        <v>59</v>
      </c>
      <c r="E12" s="25" t="s">
        <v>60</v>
      </c>
      <c r="F12" s="22" t="s">
        <v>61</v>
      </c>
      <c r="G12" s="24">
        <v>363</v>
      </c>
      <c r="H12" s="25">
        <v>8</v>
      </c>
      <c r="I12" s="25" t="s">
        <v>55</v>
      </c>
      <c r="J12" s="67">
        <f t="shared" ca="1" si="0"/>
        <v>54.314456489124986</v>
      </c>
      <c r="K12" s="20"/>
      <c r="L12" s="31"/>
      <c r="M12" s="20"/>
      <c r="N12" s="125" t="str">
        <f t="shared" si="1"/>
        <v>04605C</v>
      </c>
      <c r="O12" s="125" t="s">
        <v>160</v>
      </c>
      <c r="P12" s="125" t="str">
        <f t="shared" si="2"/>
        <v>03</v>
      </c>
      <c r="Q12" s="177" t="str">
        <f t="shared" si="3"/>
        <v xml:space="preserve">Foreman, (Master) Electrician </v>
      </c>
      <c r="R12" s="125"/>
      <c r="S12" s="128" cm="1">
        <f t="array" aca="1" ref="S12" ca="1">IF(O12="Y",((VLOOKUP(N12,INDIRECT($O$3),6,0)-VLOOKUP(N12,INDIRECT($O$3),7,0))*INDIRECT($N$2)+T12),VLOOKUP(N12,INDIRECT($O$3),6,0))</f>
        <v>54.314456489124986</v>
      </c>
      <c r="T12" s="135">
        <v>7.0000000000000007E-2</v>
      </c>
      <c r="U12" s="62" t="str">
        <f t="shared" si="4"/>
        <v>04605C</v>
      </c>
      <c r="V12" s="62" t="str">
        <f t="shared" si="5"/>
        <v>Y</v>
      </c>
      <c r="W12" s="62" t="str">
        <f t="shared" si="6"/>
        <v>03</v>
      </c>
      <c r="X12" s="62" t="str">
        <f t="shared" si="7"/>
        <v xml:space="preserve">Foreman, (Master) Electrician </v>
      </c>
      <c r="Y12" s="118">
        <f t="shared" ca="1" si="8"/>
        <v>54.314</v>
      </c>
    </row>
    <row r="13" spans="1:25" ht="13.2" customHeight="1" x14ac:dyDescent="0.45">
      <c r="B13" s="25" t="s">
        <v>51</v>
      </c>
      <c r="C13" s="25">
        <v>2</v>
      </c>
      <c r="D13" s="42" t="s">
        <v>62</v>
      </c>
      <c r="E13" s="25" t="s">
        <v>63</v>
      </c>
      <c r="F13" s="22" t="s">
        <v>64</v>
      </c>
      <c r="G13" s="24">
        <v>475</v>
      </c>
      <c r="H13" s="25">
        <v>10</v>
      </c>
      <c r="I13" s="25" t="s">
        <v>55</v>
      </c>
      <c r="J13" s="67">
        <f ca="1">S13</f>
        <v>55.825555140031241</v>
      </c>
      <c r="K13" s="20"/>
      <c r="L13" s="31"/>
      <c r="M13" s="20"/>
      <c r="N13" s="125" t="str">
        <f t="shared" si="1"/>
        <v>05140C</v>
      </c>
      <c r="O13" s="125" t="s">
        <v>160</v>
      </c>
      <c r="P13" s="125" t="str">
        <f t="shared" si="2"/>
        <v>CSU N42</v>
      </c>
      <c r="Q13" s="177" t="str">
        <f t="shared" si="3"/>
        <v>*General Foreman, Electrician</v>
      </c>
      <c r="R13" s="125"/>
      <c r="S13" s="128" cm="1">
        <f t="array" aca="1" ref="S13" ca="1">IF(O13="Y",((VLOOKUP(N13,INDIRECT($O$3),6,0)-VLOOKUP(N13,INDIRECT($O$3),7,0))*INDIRECT($N$2)+T13),VLOOKUP(N13,INDIRECT($O$3),6,0))</f>
        <v>55.825555140031241</v>
      </c>
      <c r="T13" s="135">
        <v>7.0000000000000007E-2</v>
      </c>
      <c r="U13" s="62" t="str">
        <f t="shared" si="4"/>
        <v>05140C</v>
      </c>
      <c r="V13" s="62" t="str">
        <f t="shared" si="5"/>
        <v>Y</v>
      </c>
      <c r="W13" s="62" t="str">
        <f t="shared" si="6"/>
        <v>CSU N42</v>
      </c>
      <c r="X13" s="62" t="str">
        <f t="shared" si="7"/>
        <v>*General Foreman, Electrician</v>
      </c>
      <c r="Y13" s="118">
        <f t="shared" ca="1" si="8"/>
        <v>55.826000000000001</v>
      </c>
    </row>
    <row r="14" spans="1:25" ht="13.2" customHeight="1" x14ac:dyDescent="0.45">
      <c r="B14" s="25" t="s">
        <v>51</v>
      </c>
      <c r="C14" s="25">
        <v>2</v>
      </c>
      <c r="D14" s="42" t="s">
        <v>62</v>
      </c>
      <c r="E14" s="25" t="s">
        <v>99</v>
      </c>
      <c r="F14" s="22" t="s">
        <v>100</v>
      </c>
      <c r="G14" s="24"/>
      <c r="H14" s="25">
        <v>10</v>
      </c>
      <c r="I14" s="25" t="s">
        <v>55</v>
      </c>
      <c r="J14" s="67">
        <f ca="1">S14</f>
        <v>55.825555140031241</v>
      </c>
      <c r="K14" s="20"/>
      <c r="L14" s="31"/>
      <c r="M14" s="20"/>
      <c r="N14" s="121" t="s">
        <v>99</v>
      </c>
      <c r="O14" s="121" t="s">
        <v>160</v>
      </c>
      <c r="P14" s="125" t="str">
        <f t="shared" si="2"/>
        <v>CSU N42</v>
      </c>
      <c r="Q14" s="177" t="str">
        <f t="shared" si="3"/>
        <v>*Supervisor Water Plant Electrical and Control Systems</v>
      </c>
      <c r="S14" s="128" cm="1">
        <f t="array" aca="1" ref="S14" ca="1">IF(O14="Y",((VLOOKUP(N14,INDIRECT($O$3),6,0)-VLOOKUP(N14,INDIRECT($O$3),7,0))*INDIRECT($N$2)+T14),VLOOKUP(N14,INDIRECT($O$3),6,0))</f>
        <v>55.825555140031241</v>
      </c>
      <c r="T14" s="135">
        <v>7.0000000000000007E-2</v>
      </c>
      <c r="U14" s="62" t="str">
        <f t="shared" si="4"/>
        <v>10375C</v>
      </c>
      <c r="V14" s="62" t="str">
        <f t="shared" si="5"/>
        <v>Y</v>
      </c>
      <c r="W14" s="62" t="str">
        <f t="shared" si="6"/>
        <v>CSU N42</v>
      </c>
      <c r="X14" s="62" t="str">
        <f t="shared" si="7"/>
        <v>*Supervisor Water Plant Electrical and Control Systems</v>
      </c>
      <c r="Y14" s="118">
        <f t="shared" ca="1" si="8"/>
        <v>55.826000000000001</v>
      </c>
    </row>
    <row r="15" spans="1:25" ht="13.2" customHeight="1" x14ac:dyDescent="0.45">
      <c r="B15" s="25"/>
      <c r="C15" s="25"/>
      <c r="D15" s="42"/>
      <c r="E15" s="25"/>
      <c r="F15" s="22"/>
      <c r="G15" s="24"/>
      <c r="J15" s="67"/>
      <c r="K15" s="20"/>
      <c r="L15" s="31"/>
      <c r="M15" s="20"/>
      <c r="N15" s="125"/>
      <c r="O15" s="125"/>
      <c r="P15" s="125"/>
      <c r="Q15" s="125"/>
      <c r="R15" s="125"/>
    </row>
    <row r="16" spans="1:25" ht="13.2" customHeight="1" x14ac:dyDescent="0.45">
      <c r="B16" s="18"/>
      <c r="C16" s="18"/>
      <c r="D16" s="32"/>
      <c r="E16" s="18"/>
      <c r="F16" s="22" t="s">
        <v>101</v>
      </c>
      <c r="G16" s="23"/>
      <c r="H16" s="18"/>
      <c r="I16" s="18"/>
      <c r="J16" s="30"/>
      <c r="K16" s="20"/>
      <c r="L16" s="31"/>
      <c r="M16" s="20"/>
      <c r="N16" s="125"/>
      <c r="O16" s="125"/>
      <c r="P16" s="125"/>
      <c r="Q16" s="125"/>
      <c r="R16" s="125"/>
    </row>
    <row r="17" spans="3:25" ht="13.2" customHeight="1" x14ac:dyDescent="0.45">
      <c r="C17" s="1" t="s">
        <v>66</v>
      </c>
      <c r="D17" s="2"/>
      <c r="H17" s="2"/>
      <c r="I17" s="2"/>
      <c r="J17" s="2"/>
      <c r="K17" s="3"/>
      <c r="L17" s="3"/>
      <c r="M17" s="3"/>
      <c r="N17" s="129"/>
      <c r="O17" s="129"/>
      <c r="P17" s="129"/>
      <c r="Q17" s="129"/>
      <c r="R17" s="129"/>
      <c r="S17" s="130"/>
    </row>
    <row r="18" spans="3:25" ht="13.2" customHeight="1" x14ac:dyDescent="0.45">
      <c r="C18" s="8" t="s">
        <v>67</v>
      </c>
      <c r="G18" s="5"/>
      <c r="H18" s="6"/>
      <c r="I18" s="6"/>
      <c r="J18" s="7"/>
      <c r="K18" s="7"/>
      <c r="L18" s="3"/>
      <c r="M18" s="3"/>
      <c r="N18" s="129"/>
      <c r="O18" s="129"/>
      <c r="P18" s="129"/>
      <c r="Q18" s="129"/>
      <c r="R18" s="129"/>
      <c r="S18" s="130"/>
    </row>
    <row r="19" spans="3:25" ht="13.2" customHeight="1" x14ac:dyDescent="0.45">
      <c r="C19" s="144">
        <f ca="1">S19</f>
        <v>0.2864194328121874</v>
      </c>
      <c r="D19" s="5" t="s">
        <v>68</v>
      </c>
      <c r="I19" s="10"/>
      <c r="J19" s="11"/>
      <c r="K19" s="11"/>
      <c r="L19" s="12"/>
      <c r="M19" s="12"/>
      <c r="N19" s="129" t="s">
        <v>69</v>
      </c>
      <c r="O19" s="129" t="s">
        <v>160</v>
      </c>
      <c r="P19" s="129"/>
      <c r="Q19" s="124" t="s">
        <v>102</v>
      </c>
      <c r="R19" s="129"/>
      <c r="S19" s="128" cm="1">
        <f t="array" aca="1" ref="S19" ca="1">IF(O19="Y",VLOOKUP(N19,INDIRECT($O$3),6,0)*INDIRECT($N$2),VLOOKUP(N19,INDIRECT($O$3),6,0))</f>
        <v>0.2864194328121874</v>
      </c>
      <c r="U19" s="62" t="str">
        <f t="shared" ref="U19:U22" si="9">N19</f>
        <v>LNG10</v>
      </c>
      <c r="V19" s="62" t="str">
        <f t="shared" ref="V19:V22" si="10">O19</f>
        <v>Y</v>
      </c>
      <c r="W19" s="62">
        <f t="shared" ref="W19:W22" si="11">P19</f>
        <v>0</v>
      </c>
      <c r="X19" s="62" t="str">
        <f t="shared" ref="X19:X22" si="12">Q19</f>
        <v>Longevity - 10 years</v>
      </c>
      <c r="Y19" s="118">
        <f t="shared" ref="Y19:Y22" ca="1" si="13">ROUND(S19,3)</f>
        <v>0.28599999999999998</v>
      </c>
    </row>
    <row r="20" spans="3:25" ht="13.2" customHeight="1" x14ac:dyDescent="0.45">
      <c r="C20" s="144">
        <f ca="1">S20</f>
        <v>0.39573982701531241</v>
      </c>
      <c r="D20" s="5" t="s">
        <v>70</v>
      </c>
      <c r="I20" s="10"/>
      <c r="J20" s="11"/>
      <c r="K20" s="11"/>
      <c r="L20" s="12"/>
      <c r="M20" s="12"/>
      <c r="N20" s="129" t="s">
        <v>71</v>
      </c>
      <c r="O20" s="129" t="s">
        <v>160</v>
      </c>
      <c r="P20" s="129"/>
      <c r="Q20" s="124" t="s">
        <v>103</v>
      </c>
      <c r="R20" s="129"/>
      <c r="S20" s="128" cm="1">
        <f t="array" aca="1" ref="S20" ca="1">IF(O20="Y",VLOOKUP(N20,INDIRECT($O$3),6,0)*INDIRECT($N$2),VLOOKUP(N20,INDIRECT($O$3),6,0))</f>
        <v>0.39573982701531241</v>
      </c>
      <c r="U20" s="62" t="str">
        <f t="shared" si="9"/>
        <v>LNG15</v>
      </c>
      <c r="V20" s="62" t="str">
        <f t="shared" si="10"/>
        <v>Y</v>
      </c>
      <c r="W20" s="62">
        <f t="shared" si="11"/>
        <v>0</v>
      </c>
      <c r="X20" s="62" t="str">
        <f t="shared" si="12"/>
        <v>Longevity - 15 years</v>
      </c>
      <c r="Y20" s="118">
        <f t="shared" ca="1" si="13"/>
        <v>0.39600000000000002</v>
      </c>
    </row>
    <row r="21" spans="3:25" ht="13.2" customHeight="1" x14ac:dyDescent="0.45">
      <c r="C21" s="144">
        <f ca="1">S21</f>
        <v>0.63077867455203096</v>
      </c>
      <c r="D21" s="5" t="s">
        <v>72</v>
      </c>
      <c r="I21" s="10"/>
      <c r="J21" s="11"/>
      <c r="K21" s="11"/>
      <c r="L21" s="12"/>
      <c r="M21" s="12"/>
      <c r="N21" s="129" t="s">
        <v>73</v>
      </c>
      <c r="O21" s="129" t="s">
        <v>160</v>
      </c>
      <c r="P21" s="129"/>
      <c r="Q21" s="124" t="s">
        <v>104</v>
      </c>
      <c r="R21" s="129"/>
      <c r="S21" s="128" cm="1">
        <f t="array" aca="1" ref="S21" ca="1">IF(O21="Y",VLOOKUP(N21,INDIRECT($O$3),6,0)*INDIRECT($N$2),VLOOKUP(N21,INDIRECT($O$3),6,0))</f>
        <v>0.63077867455203096</v>
      </c>
      <c r="U21" s="62" t="str">
        <f t="shared" si="9"/>
        <v>LNG20</v>
      </c>
      <c r="V21" s="62" t="str">
        <f t="shared" si="10"/>
        <v>Y</v>
      </c>
      <c r="W21" s="62">
        <f t="shared" si="11"/>
        <v>0</v>
      </c>
      <c r="X21" s="62" t="str">
        <f t="shared" si="12"/>
        <v>Longevity - 20 years</v>
      </c>
      <c r="Y21" s="118">
        <f t="shared" ca="1" si="13"/>
        <v>0.63100000000000001</v>
      </c>
    </row>
    <row r="22" spans="3:25" ht="13.2" customHeight="1" x14ac:dyDescent="0.45">
      <c r="C22" s="144">
        <f ca="1">S22</f>
        <v>0.94562140985703091</v>
      </c>
      <c r="D22" s="5" t="s">
        <v>74</v>
      </c>
      <c r="I22" s="10"/>
      <c r="J22" s="11"/>
      <c r="K22" s="11"/>
      <c r="L22" s="12"/>
      <c r="M22" s="12"/>
      <c r="N22" s="129" t="s">
        <v>75</v>
      </c>
      <c r="O22" s="129" t="s">
        <v>160</v>
      </c>
      <c r="P22" s="129"/>
      <c r="Q22" s="124" t="s">
        <v>105</v>
      </c>
      <c r="R22" s="129"/>
      <c r="S22" s="128" cm="1">
        <f t="array" aca="1" ref="S22" ca="1">IF(O22="Y",VLOOKUP(N22,INDIRECT($O$3),6,0)*INDIRECT($N$2),VLOOKUP(N22,INDIRECT($O$3),6,0))</f>
        <v>0.94562140985703091</v>
      </c>
      <c r="U22" s="62" t="str">
        <f t="shared" si="9"/>
        <v>LNG25</v>
      </c>
      <c r="V22" s="62" t="str">
        <f t="shared" si="10"/>
        <v>Y</v>
      </c>
      <c r="W22" s="62">
        <f t="shared" si="11"/>
        <v>0</v>
      </c>
      <c r="X22" s="62" t="str">
        <f t="shared" si="12"/>
        <v>Longevity - 25 years</v>
      </c>
      <c r="Y22" s="118">
        <f t="shared" ca="1" si="13"/>
        <v>0.94599999999999995</v>
      </c>
    </row>
    <row r="23" spans="3:25" ht="13.2" customHeight="1" x14ac:dyDescent="0.45"/>
    <row r="24" spans="3:25" ht="13.2" customHeight="1" x14ac:dyDescent="0.45">
      <c r="C24" s="1" t="s">
        <v>76</v>
      </c>
    </row>
    <row r="25" spans="3:25" ht="13.2" customHeight="1" x14ac:dyDescent="0.45">
      <c r="C25" s="46" t="str">
        <f ca="1">"Provided that a night shift differential of "&amp;TEXT(S25,"$#.000")&amp;" per hour for each hour, or fraction thereof, they"</f>
        <v>Provided that a night shift differential of $2.321 per hour for each hour, or fraction thereof, they</v>
      </c>
      <c r="G25" s="33"/>
      <c r="H25" s="19"/>
      <c r="N25" s="121" t="s">
        <v>79</v>
      </c>
      <c r="O25" s="129" t="s">
        <v>160</v>
      </c>
      <c r="P25" s="129"/>
      <c r="Q25" s="124" t="s">
        <v>106</v>
      </c>
      <c r="S25" s="128" cm="1">
        <f t="array" aca="1" ref="S25" ca="1">IF(O25="Y",VLOOKUP(N25,INDIRECT($O$3),6,0)*INDIRECT($N$2),VLOOKUP(N25,INDIRECT($O$3),6,0))</f>
        <v>2.3210475667628008</v>
      </c>
      <c r="U25" s="62" t="str">
        <f t="shared" ref="U25:U26" si="14">N25</f>
        <v>CELEVE</v>
      </c>
      <c r="V25" s="62" t="str">
        <f t="shared" ref="V25:V26" si="15">O25</f>
        <v>Y</v>
      </c>
      <c r="W25" s="62">
        <f t="shared" ref="W25:W26" si="16">P25</f>
        <v>0</v>
      </c>
      <c r="X25" s="62" t="str">
        <f t="shared" ref="X25:X26" si="17">Q25</f>
        <v>TL-Evening Shift Premium-CEL</v>
      </c>
      <c r="Y25" s="118">
        <f t="shared" ref="Y25:Y26" ca="1" si="18">ROUND(S25,3)</f>
        <v>2.3210000000000002</v>
      </c>
    </row>
    <row r="26" spans="3:25" ht="13.2" customHeight="1" x14ac:dyDescent="0.45">
      <c r="C26" s="46" t="s">
        <v>80</v>
      </c>
      <c r="N26" s="121" t="s">
        <v>81</v>
      </c>
      <c r="O26" s="129" t="s">
        <v>160</v>
      </c>
      <c r="P26" s="129"/>
      <c r="Q26" s="124" t="s">
        <v>107</v>
      </c>
      <c r="S26" s="128" cm="1">
        <f t="array" aca="1" ref="S26" ca="1">IF(O26="Y",VLOOKUP(N26,INDIRECT($O$3),6,0)*INDIRECT($N$2),VLOOKUP(N26,INDIRECT($O$3),6,0))</f>
        <v>2.3210475667628008</v>
      </c>
      <c r="U26" s="62" t="str">
        <f t="shared" si="14"/>
        <v>CELSGT</v>
      </c>
      <c r="V26" s="62" t="str">
        <f t="shared" si="15"/>
        <v>Y</v>
      </c>
      <c r="W26" s="62">
        <f t="shared" si="16"/>
        <v>0</v>
      </c>
      <c r="X26" s="62" t="str">
        <f t="shared" si="17"/>
        <v>TL-Signal Truck Premium-CEL</v>
      </c>
      <c r="Y26" s="118">
        <f t="shared" ca="1" si="18"/>
        <v>2.3210000000000002</v>
      </c>
    </row>
    <row r="27" spans="3:25" ht="13.2" customHeight="1" x14ac:dyDescent="0.45">
      <c r="C27" s="46" t="s">
        <v>82</v>
      </c>
    </row>
    <row r="28" spans="3:25" ht="13.2" customHeight="1" x14ac:dyDescent="0.45">
      <c r="C28" s="46"/>
    </row>
    <row r="29" spans="3:25" ht="13.2" customHeight="1" x14ac:dyDescent="0.45">
      <c r="C29" s="46" t="str">
        <f ca="1">"Provided that a weekend shift differential of "&amp;TEXT(S29,"$#.000")&amp;" per hour shall be paid to employees who work"</f>
        <v>Provided that a weekend shift differential of $1.574 per hour shall be paid to employees who work</v>
      </c>
      <c r="G29" s="35"/>
      <c r="H29" s="19"/>
      <c r="N29" s="121" t="s">
        <v>85</v>
      </c>
      <c r="O29" s="129" t="s">
        <v>160</v>
      </c>
      <c r="P29" s="129"/>
      <c r="Q29" s="124" t="s">
        <v>108</v>
      </c>
      <c r="S29" s="128" cm="1">
        <f t="array" aca="1" ref="S29" ca="1">IF(O29="Y",VLOOKUP(N29,INDIRECT($O$3),6,0)*INDIRECT($N$2),VLOOKUP(N29,INDIRECT($O$3),6,0))</f>
        <v>1.5737970633352159</v>
      </c>
      <c r="U29" s="62" t="str">
        <f t="shared" ref="U29" si="19">N29</f>
        <v>CELWKE</v>
      </c>
      <c r="V29" s="62" t="str">
        <f t="shared" ref="V29" si="20">O29</f>
        <v>Y</v>
      </c>
      <c r="W29" s="62">
        <f t="shared" ref="W29" si="21">P29</f>
        <v>0</v>
      </c>
      <c r="X29" s="62" t="str">
        <f t="shared" ref="X29" si="22">Q29</f>
        <v>TL-Wkend Shift dif CEL</v>
      </c>
      <c r="Y29" s="118">
        <f t="shared" ref="Y29" ca="1" si="23">ROUND(S29,3)</f>
        <v>1.5740000000000001</v>
      </c>
    </row>
    <row r="30" spans="3:25" ht="13.2" customHeight="1" x14ac:dyDescent="0.45">
      <c r="C30" s="46" t="s">
        <v>86</v>
      </c>
    </row>
    <row r="31" spans="3:25" ht="13.2" customHeight="1" x14ac:dyDescent="0.45">
      <c r="F31" s="19"/>
    </row>
    <row r="32" spans="3:25" ht="13.2" customHeight="1" x14ac:dyDescent="0.45">
      <c r="C32" s="68" t="str">
        <f ca="1">"Provided that a premium of "&amp;TEXT(S32,"$#.000")&amp;" per hour shall be paid to employees for hours worked while performing welding work."</f>
        <v>Provided that a premium of $1.077 per hour shall be paid to employees for hours worked while performing welding work.</v>
      </c>
      <c r="D32" s="3"/>
      <c r="N32" s="129" t="s">
        <v>136</v>
      </c>
      <c r="O32" s="129" t="s">
        <v>160</v>
      </c>
      <c r="P32" s="129"/>
      <c r="Q32" s="124" t="s">
        <v>137</v>
      </c>
      <c r="R32" s="129"/>
      <c r="S32" s="128" cm="1">
        <f t="array" aca="1" ref="S32" ca="1">IF(O32="Y",VLOOKUP(N32,INDIRECT($O$3),6,0)*INDIRECT($N$2),VLOOKUP(N32,INDIRECT($O$3),6,0))</f>
        <v>1.0770482187499997</v>
      </c>
      <c r="U32" s="62" t="str">
        <f t="shared" ref="U32" si="24">N32</f>
        <v>CELWLD</v>
      </c>
      <c r="V32" s="62" t="str">
        <f t="shared" ref="V32" si="25">O32</f>
        <v>Y</v>
      </c>
      <c r="W32" s="62">
        <f t="shared" ref="W32" si="26">P32</f>
        <v>0</v>
      </c>
      <c r="X32" s="62" t="str">
        <f t="shared" ref="X32" si="27">Q32</f>
        <v>Welding premium - add to COMET</v>
      </c>
      <c r="Y32" s="118">
        <f t="shared" ref="Y32" ca="1" si="28">ROUND(S32,3)</f>
        <v>1.077</v>
      </c>
    </row>
    <row r="33" spans="1:25" ht="13.2" customHeight="1" x14ac:dyDescent="0.45">
      <c r="C33" s="68"/>
      <c r="D33" s="3"/>
      <c r="N33" s="129"/>
      <c r="O33" s="129"/>
      <c r="P33" s="129"/>
      <c r="Q33" s="129"/>
      <c r="R33" s="129"/>
      <c r="S33" s="130"/>
    </row>
    <row r="34" spans="1:25" s="12" customFormat="1" x14ac:dyDescent="0.45">
      <c r="C34" s="12" t="s">
        <v>109</v>
      </c>
      <c r="N34" s="129" t="s">
        <v>87</v>
      </c>
      <c r="O34" s="129" t="s">
        <v>51</v>
      </c>
      <c r="P34" s="129"/>
      <c r="Q34" s="124" t="s">
        <v>110</v>
      </c>
      <c r="R34" s="129"/>
      <c r="S34" s="128" cm="1">
        <f t="array" aca="1" ref="S34" ca="1">IF(O34="Y",VLOOKUP(N34,INDIRECT($O$3),6,0)*INDIRECT($N$2),VLOOKUP(N34,INDIRECT($O$3),6,0))</f>
        <v>35</v>
      </c>
      <c r="T34" s="133"/>
      <c r="U34" s="62" t="str">
        <f t="shared" ref="U34:U35" si="29">N34</f>
        <v>CELCDY</v>
      </c>
      <c r="V34" s="62" t="str">
        <f t="shared" ref="V34:V35" si="30">O34</f>
        <v>N</v>
      </c>
      <c r="W34" s="62">
        <f t="shared" ref="W34:W35" si="31">P34</f>
        <v>0</v>
      </c>
      <c r="X34" s="62" t="str">
        <f t="shared" ref="X34:X35" si="32">Q34</f>
        <v>TL-On call by the day-CEL</v>
      </c>
      <c r="Y34" s="118">
        <f t="shared" ref="Y34:Y35" ca="1" si="33">S34</f>
        <v>35</v>
      </c>
    </row>
    <row r="35" spans="1:25" s="12" customFormat="1" x14ac:dyDescent="0.45">
      <c r="C35" s="68" t="s">
        <v>111</v>
      </c>
      <c r="N35" s="129" t="s">
        <v>88</v>
      </c>
      <c r="O35" s="129" t="s">
        <v>51</v>
      </c>
      <c r="P35" s="129"/>
      <c r="Q35" s="124" t="s">
        <v>112</v>
      </c>
      <c r="R35" s="129"/>
      <c r="S35" s="128" cm="1">
        <f t="array" aca="1" ref="S35" ca="1">IF(O35="Y",VLOOKUP(N35,INDIRECT($O$3),6,0)*INDIRECT($N$2),VLOOKUP(N35,INDIRECT($O$3),6,0))</f>
        <v>45</v>
      </c>
      <c r="T35" s="133"/>
      <c r="U35" s="62" t="str">
        <f t="shared" si="29"/>
        <v>CELCWE</v>
      </c>
      <c r="V35" s="62" t="str">
        <f t="shared" si="30"/>
        <v>N</v>
      </c>
      <c r="W35" s="62">
        <f t="shared" si="31"/>
        <v>0</v>
      </c>
      <c r="X35" s="62" t="str">
        <f t="shared" si="32"/>
        <v>TL-On call by day Weekend-CEL</v>
      </c>
      <c r="Y35" s="118">
        <f t="shared" ca="1" si="33"/>
        <v>45</v>
      </c>
    </row>
    <row r="36" spans="1:25" s="3" customFormat="1" x14ac:dyDescent="0.45">
      <c r="C36" s="68" t="s">
        <v>113</v>
      </c>
      <c r="N36" s="129"/>
      <c r="O36" s="129"/>
      <c r="P36" s="129"/>
      <c r="Q36" s="129"/>
      <c r="R36" s="129"/>
      <c r="S36" s="131"/>
      <c r="T36" s="134"/>
      <c r="U36" s="53"/>
      <c r="V36" s="53"/>
      <c r="W36" s="53"/>
      <c r="X36" s="53"/>
      <c r="Y36" s="53"/>
    </row>
    <row r="37" spans="1:25" s="3" customFormat="1" x14ac:dyDescent="0.45">
      <c r="C37" s="68" t="s">
        <v>114</v>
      </c>
      <c r="N37" s="129"/>
      <c r="O37" s="129"/>
      <c r="P37" s="129"/>
      <c r="Q37" s="129"/>
      <c r="R37" s="129"/>
      <c r="S37" s="131"/>
      <c r="T37" s="134"/>
      <c r="U37" s="53"/>
      <c r="V37" s="53"/>
      <c r="W37" s="53"/>
      <c r="X37" s="53"/>
      <c r="Y37" s="53"/>
    </row>
    <row r="38" spans="1:25" s="3" customFormat="1" x14ac:dyDescent="0.45">
      <c r="C38" s="68" t="s">
        <v>115</v>
      </c>
      <c r="N38" s="129"/>
      <c r="O38" s="129"/>
      <c r="P38" s="129"/>
      <c r="Q38" s="129"/>
      <c r="R38" s="129"/>
      <c r="S38" s="131"/>
      <c r="T38" s="134"/>
      <c r="U38" s="53"/>
      <c r="V38" s="53"/>
      <c r="W38" s="53"/>
      <c r="X38" s="53"/>
      <c r="Y38" s="53"/>
    </row>
    <row r="39" spans="1:25" s="3" customFormat="1" x14ac:dyDescent="0.45">
      <c r="N39" s="129"/>
      <c r="O39" s="129"/>
      <c r="P39" s="129"/>
      <c r="Q39" s="129"/>
      <c r="R39" s="129"/>
      <c r="S39" s="131"/>
      <c r="T39" s="134"/>
      <c r="U39" s="53"/>
      <c r="V39" s="53"/>
      <c r="W39" s="53"/>
      <c r="X39" s="53"/>
      <c r="Y39" s="53"/>
    </row>
    <row r="40" spans="1:25" s="3" customFormat="1" x14ac:dyDescent="0.45">
      <c r="N40" s="129"/>
      <c r="O40" s="129"/>
      <c r="P40" s="129"/>
      <c r="Q40" s="129"/>
      <c r="R40" s="129"/>
      <c r="S40" s="131"/>
      <c r="T40" s="134"/>
      <c r="U40" s="53"/>
      <c r="V40" s="53"/>
      <c r="W40" s="53"/>
      <c r="X40" s="53"/>
      <c r="Y40" s="53"/>
    </row>
    <row r="41" spans="1:25" s="3" customFormat="1" x14ac:dyDescent="0.45">
      <c r="N41" s="129"/>
      <c r="O41" s="129"/>
      <c r="P41" s="129"/>
      <c r="Q41" s="129"/>
      <c r="R41" s="129"/>
      <c r="S41" s="131"/>
      <c r="T41" s="134"/>
      <c r="U41" s="53"/>
      <c r="V41" s="53"/>
      <c r="W41" s="53"/>
      <c r="X41" s="53"/>
      <c r="Y41" s="53"/>
    </row>
    <row r="42" spans="1:25" s="3" customFormat="1" x14ac:dyDescent="0.45">
      <c r="A42" s="3" t="s">
        <v>161</v>
      </c>
      <c r="J42" s="3" t="s">
        <v>162</v>
      </c>
      <c r="N42" s="129"/>
      <c r="O42" s="129"/>
      <c r="P42" s="129"/>
      <c r="Q42" s="129"/>
      <c r="R42" s="129"/>
      <c r="S42" s="131"/>
      <c r="T42" s="134"/>
      <c r="U42" s="53"/>
      <c r="V42" s="53"/>
      <c r="W42" s="53"/>
      <c r="X42" s="53"/>
      <c r="Y42" s="53"/>
    </row>
    <row r="43" spans="1:25" s="3" customFormat="1" x14ac:dyDescent="0.45">
      <c r="N43" s="129"/>
      <c r="O43" s="129"/>
      <c r="P43" s="129"/>
      <c r="Q43" s="129"/>
      <c r="R43" s="129"/>
      <c r="S43" s="131"/>
      <c r="T43" s="134"/>
      <c r="U43" s="53"/>
      <c r="V43" s="53"/>
      <c r="W43" s="53"/>
      <c r="X43" s="53"/>
      <c r="Y43" s="53"/>
    </row>
    <row r="44" spans="1:25" s="3" customFormat="1" x14ac:dyDescent="0.45">
      <c r="N44" s="129"/>
      <c r="O44" s="129"/>
      <c r="P44" s="129"/>
      <c r="Q44" s="129"/>
      <c r="R44" s="129"/>
      <c r="S44" s="131"/>
      <c r="T44" s="134"/>
      <c r="U44" s="53"/>
      <c r="V44" s="53"/>
      <c r="W44" s="53"/>
      <c r="X44" s="53"/>
      <c r="Y44" s="53"/>
    </row>
    <row r="45" spans="1:25" s="3" customFormat="1" x14ac:dyDescent="0.45">
      <c r="N45" s="129"/>
      <c r="O45" s="129"/>
      <c r="P45" s="129"/>
      <c r="Q45" s="129"/>
      <c r="R45" s="129"/>
      <c r="S45" s="131"/>
      <c r="T45" s="134"/>
      <c r="U45" s="53"/>
      <c r="V45" s="53"/>
      <c r="W45" s="53"/>
      <c r="X45" s="53"/>
      <c r="Y45" s="53"/>
    </row>
    <row r="46" spans="1:25" s="3" customFormat="1" x14ac:dyDescent="0.45">
      <c r="N46" s="129"/>
      <c r="O46" s="129"/>
      <c r="P46" s="129"/>
      <c r="Q46" s="129"/>
      <c r="R46" s="129"/>
      <c r="S46" s="131"/>
      <c r="T46" s="134"/>
      <c r="U46" s="53"/>
      <c r="V46" s="53"/>
      <c r="W46" s="53"/>
      <c r="X46" s="53"/>
      <c r="Y46" s="53"/>
    </row>
    <row r="47" spans="1:25" s="3" customFormat="1" x14ac:dyDescent="0.45">
      <c r="B47" s="29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32"/>
      <c r="O47" s="132"/>
      <c r="P47" s="132"/>
      <c r="Q47" s="132"/>
      <c r="R47" s="132"/>
      <c r="S47" s="131"/>
      <c r="T47" s="134"/>
      <c r="U47" s="53"/>
      <c r="V47" s="53"/>
      <c r="W47" s="53"/>
      <c r="X47" s="53"/>
      <c r="Y47" s="53"/>
    </row>
    <row r="48" spans="1:25" s="3" customFormat="1" x14ac:dyDescent="0.4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2"/>
      <c r="O48" s="132"/>
      <c r="P48" s="132"/>
      <c r="Q48" s="132"/>
      <c r="R48" s="132"/>
      <c r="S48" s="131"/>
      <c r="T48" s="134"/>
      <c r="U48" s="53"/>
      <c r="V48" s="53"/>
      <c r="W48" s="53"/>
      <c r="X48" s="53"/>
      <c r="Y48" s="53"/>
    </row>
    <row r="49" spans="2:25" s="17" customFormat="1" x14ac:dyDescent="0.45">
      <c r="B49" s="14"/>
      <c r="C49" s="14"/>
      <c r="D49" s="14"/>
      <c r="E49" s="14"/>
      <c r="F49" s="14"/>
      <c r="G49" s="14"/>
      <c r="H49" s="14"/>
      <c r="I49" s="14"/>
      <c r="J49" s="16"/>
      <c r="K49" s="14"/>
      <c r="L49" s="14"/>
      <c r="M49" s="14"/>
      <c r="N49" s="132"/>
      <c r="O49" s="132"/>
      <c r="P49" s="132"/>
      <c r="Q49" s="132"/>
      <c r="R49" s="132"/>
      <c r="S49" s="131"/>
      <c r="T49" s="129"/>
      <c r="U49" s="49"/>
      <c r="V49" s="49"/>
      <c r="W49" s="49"/>
      <c r="X49" s="49"/>
      <c r="Y49" s="49"/>
    </row>
    <row r="50" spans="2:25" s="3" customFormat="1" x14ac:dyDescent="0.45">
      <c r="B50" s="17"/>
      <c r="C50" s="17"/>
      <c r="D50" s="17"/>
      <c r="G50" s="17"/>
      <c r="H50" s="17"/>
      <c r="J50" s="16"/>
      <c r="K50" s="16"/>
      <c r="L50" s="16"/>
      <c r="N50" s="129"/>
      <c r="O50" s="129"/>
      <c r="P50" s="129"/>
      <c r="Q50" s="129"/>
      <c r="R50" s="129"/>
      <c r="S50" s="131"/>
      <c r="T50" s="134"/>
      <c r="U50" s="53"/>
      <c r="V50" s="53"/>
      <c r="W50" s="53"/>
      <c r="X50" s="53"/>
      <c r="Y50" s="53"/>
    </row>
    <row r="51" spans="2:25" s="3" customFormat="1" x14ac:dyDescent="0.45">
      <c r="N51" s="129"/>
      <c r="O51" s="129"/>
      <c r="P51" s="129"/>
      <c r="Q51" s="129"/>
      <c r="R51" s="129"/>
      <c r="S51" s="131"/>
      <c r="T51" s="134"/>
      <c r="U51" s="53"/>
      <c r="V51" s="53"/>
      <c r="W51" s="53"/>
      <c r="X51" s="53"/>
      <c r="Y51" s="53"/>
    </row>
    <row r="52" spans="2:25" s="3" customFormat="1" x14ac:dyDescent="0.45">
      <c r="N52" s="129"/>
      <c r="O52" s="129"/>
      <c r="P52" s="129"/>
      <c r="Q52" s="129"/>
      <c r="R52" s="129"/>
      <c r="S52" s="131"/>
      <c r="T52" s="134"/>
      <c r="U52" s="53"/>
      <c r="V52" s="53"/>
      <c r="W52" s="53"/>
      <c r="X52" s="53"/>
      <c r="Y52" s="53"/>
    </row>
  </sheetData>
  <sheetProtection sheet="1" objects="1" scenarios="1"/>
  <pageMargins left="0" right="0" top="1" bottom="0.5" header="0.5" footer="0.5"/>
  <pageSetup scale="94" fitToHeight="2" orientation="landscape" horizont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EF73-959A-4AC9-918D-CEE17975316E}">
  <sheetPr>
    <pageSetUpPr fitToPage="1"/>
  </sheetPr>
  <dimension ref="A1:Y52"/>
  <sheetViews>
    <sheetView showGridLines="0" topLeftCell="G1" zoomScaleNormal="100" workbookViewId="0">
      <selection activeCell="N1" sqref="N1:Y1048576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70312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5.703125" style="25" bestFit="1" customWidth="1"/>
    <col min="9" max="9" width="4.7031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7.5859375" style="121" hidden="1" customWidth="1"/>
    <col min="15" max="15" width="11.87890625" style="121" hidden="1" customWidth="1"/>
    <col min="16" max="16" width="8.5859375" style="121" hidden="1" customWidth="1"/>
    <col min="17" max="17" width="45.5859375" style="121" hidden="1" customWidth="1"/>
    <col min="18" max="18" width="15.87890625" style="121" hidden="1" customWidth="1"/>
    <col min="19" max="19" width="8.1171875" style="128" hidden="1" customWidth="1"/>
    <col min="20" max="20" width="12.1171875" style="124" hidden="1" customWidth="1"/>
    <col min="21" max="21" width="11" style="62" hidden="1" customWidth="1"/>
    <col min="22" max="22" width="6.5859375" style="62" hidden="1" customWidth="1"/>
    <col min="23" max="23" width="8.5859375" style="62" hidden="1" customWidth="1"/>
    <col min="24" max="24" width="45.5859375" style="62" hidden="1" customWidth="1"/>
    <col min="25" max="25" width="8.1171875" style="62" hidden="1" customWidth="1"/>
    <col min="26" max="16384" width="11.41015625" style="21"/>
  </cols>
  <sheetData>
    <row r="1" spans="1:25" x14ac:dyDescent="0.45">
      <c r="A1" s="21" t="s">
        <v>138</v>
      </c>
    </row>
    <row r="2" spans="1:25" x14ac:dyDescent="0.45">
      <c r="B2" s="72" t="s">
        <v>89</v>
      </c>
      <c r="N2" s="119" t="s">
        <v>172</v>
      </c>
      <c r="O2" s="120">
        <v>1.0075000000000001</v>
      </c>
      <c r="P2" s="120"/>
      <c r="R2" s="122"/>
      <c r="S2" s="123"/>
    </row>
    <row r="3" spans="1:25" ht="13.2" customHeight="1" x14ac:dyDescent="0.45">
      <c r="B3" s="19" t="s">
        <v>140</v>
      </c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177" t="s">
        <v>141</v>
      </c>
      <c r="O3" s="124" t="s">
        <v>173</v>
      </c>
      <c r="P3" s="124"/>
      <c r="Q3" s="125"/>
      <c r="R3" s="126"/>
      <c r="S3" s="127"/>
    </row>
    <row r="4" spans="1:25" ht="13.2" customHeight="1" x14ac:dyDescent="0.45">
      <c r="B4" s="22" t="s">
        <v>174</v>
      </c>
      <c r="C4" s="18"/>
      <c r="D4" s="18"/>
      <c r="E4" s="18"/>
      <c r="F4" s="19"/>
      <c r="G4" s="18"/>
      <c r="H4" s="18"/>
      <c r="I4" s="18"/>
      <c r="J4" s="20"/>
      <c r="K4" s="20"/>
      <c r="L4" s="20"/>
      <c r="M4" s="20"/>
      <c r="N4" s="177"/>
      <c r="O4" s="124"/>
      <c r="P4" s="124"/>
      <c r="Q4" s="125"/>
      <c r="R4" s="126"/>
      <c r="S4" s="127"/>
    </row>
    <row r="5" spans="1:25" ht="13.2" customHeight="1" x14ac:dyDescent="0.45">
      <c r="B5" s="22" t="s">
        <v>144</v>
      </c>
      <c r="C5" s="18"/>
      <c r="D5" s="18"/>
      <c r="E5" s="18"/>
      <c r="F5" s="19"/>
      <c r="G5" s="18"/>
      <c r="H5" s="18"/>
      <c r="I5" s="18"/>
      <c r="J5" s="20"/>
      <c r="K5" s="20"/>
      <c r="L5" s="20"/>
      <c r="M5" s="20"/>
      <c r="N5" s="177"/>
      <c r="O5" s="124"/>
      <c r="P5" s="124"/>
      <c r="Q5" s="125"/>
      <c r="R5" s="126"/>
      <c r="S5" s="127"/>
    </row>
    <row r="6" spans="1:25" ht="13.2" customHeight="1" x14ac:dyDescent="0.45">
      <c r="B6" s="19"/>
      <c r="C6" s="18"/>
      <c r="D6" s="18"/>
      <c r="E6" s="18"/>
      <c r="F6" s="19"/>
      <c r="G6" s="18"/>
      <c r="H6" s="18"/>
      <c r="I6" s="18"/>
      <c r="J6" s="20"/>
      <c r="K6" s="20"/>
      <c r="L6" s="20"/>
      <c r="M6" s="20"/>
      <c r="Q6" s="125"/>
      <c r="R6" s="125"/>
    </row>
    <row r="7" spans="1:25" ht="13.2" customHeight="1" x14ac:dyDescent="0.45">
      <c r="B7" s="22"/>
      <c r="C7" s="18" t="s">
        <v>145</v>
      </c>
      <c r="D7" s="18"/>
      <c r="E7" s="18"/>
      <c r="F7" s="19"/>
      <c r="G7" s="18"/>
      <c r="H7" s="143" t="s">
        <v>146</v>
      </c>
      <c r="I7" s="18" t="s">
        <v>147</v>
      </c>
      <c r="J7" s="18" t="s">
        <v>42</v>
      </c>
      <c r="K7" s="20"/>
      <c r="L7" s="20"/>
      <c r="M7" s="20"/>
      <c r="N7" s="125" t="s">
        <v>148</v>
      </c>
      <c r="O7" s="126"/>
      <c r="P7" s="126"/>
      <c r="Q7" s="126"/>
      <c r="R7" s="126"/>
      <c r="S7" s="127"/>
      <c r="U7" s="62" t="s">
        <v>149</v>
      </c>
    </row>
    <row r="8" spans="1:25" ht="13.2" customHeight="1" x14ac:dyDescent="0.45">
      <c r="B8" s="36" t="s">
        <v>43</v>
      </c>
      <c r="C8" s="36" t="s">
        <v>150</v>
      </c>
      <c r="D8" s="36" t="s">
        <v>151</v>
      </c>
      <c r="E8" s="36" t="s">
        <v>152</v>
      </c>
      <c r="F8" s="37" t="s">
        <v>153</v>
      </c>
      <c r="G8" s="38" t="s">
        <v>47</v>
      </c>
      <c r="H8" s="39" t="s">
        <v>154</v>
      </c>
      <c r="I8" s="36" t="s">
        <v>155</v>
      </c>
      <c r="J8" s="36" t="s">
        <v>50</v>
      </c>
      <c r="K8" s="20"/>
      <c r="L8" s="20"/>
      <c r="M8" s="20"/>
      <c r="N8" s="136" t="s">
        <v>152</v>
      </c>
      <c r="O8" s="136" t="s">
        <v>156</v>
      </c>
      <c r="P8" s="136" t="s">
        <v>157</v>
      </c>
      <c r="Q8" s="137" t="s">
        <v>153</v>
      </c>
      <c r="R8" s="136"/>
      <c r="S8" s="138" t="s">
        <v>158</v>
      </c>
      <c r="T8" s="139" t="s">
        <v>159</v>
      </c>
      <c r="U8" s="140" t="s">
        <v>152</v>
      </c>
      <c r="V8" s="140" t="s">
        <v>156</v>
      </c>
      <c r="W8" s="140" t="s">
        <v>157</v>
      </c>
      <c r="X8" s="141" t="s">
        <v>153</v>
      </c>
      <c r="Y8" s="142" t="s">
        <v>158</v>
      </c>
    </row>
    <row r="9" spans="1:25" ht="13.2" customHeight="1" x14ac:dyDescent="0.45">
      <c r="G9" s="24"/>
      <c r="J9" s="25"/>
    </row>
    <row r="10" spans="1:25" ht="13.2" customHeight="1" x14ac:dyDescent="0.45">
      <c r="B10" s="25" t="s">
        <v>51</v>
      </c>
      <c r="C10" s="25">
        <v>2</v>
      </c>
      <c r="D10" s="42" t="s">
        <v>52</v>
      </c>
      <c r="E10" s="25" t="s">
        <v>53</v>
      </c>
      <c r="F10" s="22" t="s">
        <v>54</v>
      </c>
      <c r="G10" s="24">
        <v>300</v>
      </c>
      <c r="H10" s="25">
        <v>6</v>
      </c>
      <c r="I10" s="25" t="s">
        <v>55</v>
      </c>
      <c r="J10" s="67">
        <f ca="1">S10</f>
        <v>50.154179057068056</v>
      </c>
      <c r="K10" s="20"/>
      <c r="L10" s="31"/>
      <c r="M10" s="20"/>
      <c r="N10" s="125" t="str">
        <f>E10</f>
        <v>03860C</v>
      </c>
      <c r="O10" s="125" t="s">
        <v>160</v>
      </c>
      <c r="P10" s="125" t="str">
        <f>D10</f>
        <v>01</v>
      </c>
      <c r="Q10" s="177" t="str">
        <f>F10</f>
        <v>Electrician</v>
      </c>
      <c r="R10" s="125"/>
      <c r="S10" s="128" cm="1">
        <f t="array" aca="1" ref="S10" ca="1">IF(O10="Y",((VLOOKUP(N10,INDIRECT($O$3),6,0)-VLOOKUP(N10,INDIRECT($O$3),7,0))*INDIRECT($N$2)+T10),VLOOKUP(N10,INDIRECT($O$3),6,0))</f>
        <v>50.154179057068056</v>
      </c>
      <c r="T10" s="135">
        <v>7.0000000000000007E-2</v>
      </c>
      <c r="U10" s="62" t="str">
        <f>N10</f>
        <v>03860C</v>
      </c>
      <c r="V10" s="62" t="str">
        <f>O10</f>
        <v>Y</v>
      </c>
      <c r="W10" s="62" t="str">
        <f>P10</f>
        <v>01</v>
      </c>
      <c r="X10" s="62" t="str">
        <f>Q10</f>
        <v>Electrician</v>
      </c>
      <c r="Y10" s="118">
        <f ca="1">ROUND(S10,3)</f>
        <v>50.154000000000003</v>
      </c>
    </row>
    <row r="11" spans="1:25" ht="13.2" customHeight="1" x14ac:dyDescent="0.45">
      <c r="B11" s="25" t="s">
        <v>51</v>
      </c>
      <c r="C11" s="25">
        <v>2</v>
      </c>
      <c r="D11" s="42" t="s">
        <v>56</v>
      </c>
      <c r="E11" s="25" t="s">
        <v>57</v>
      </c>
      <c r="F11" s="22" t="s">
        <v>58</v>
      </c>
      <c r="G11" s="24">
        <v>363</v>
      </c>
      <c r="H11" s="25">
        <v>8</v>
      </c>
      <c r="I11" s="25" t="s">
        <v>55</v>
      </c>
      <c r="J11" s="67">
        <f t="shared" ref="J11:J12" ca="1" si="0">S11</f>
        <v>53.198858022005382</v>
      </c>
      <c r="K11" s="20"/>
      <c r="L11" s="31"/>
      <c r="M11" s="20"/>
      <c r="N11" s="125" t="str">
        <f t="shared" ref="N11:N13" si="1">E11</f>
        <v>04600C</v>
      </c>
      <c r="O11" s="125" t="s">
        <v>160</v>
      </c>
      <c r="P11" s="125" t="str">
        <f t="shared" ref="P11:P14" si="2">D11</f>
        <v>02</v>
      </c>
      <c r="Q11" s="177" t="str">
        <f t="shared" ref="Q11:Q14" si="3">F11</f>
        <v>Foreman, Electrician</v>
      </c>
      <c r="R11" s="125"/>
      <c r="S11" s="128" cm="1">
        <f t="array" aca="1" ref="S11" ca="1">IF(O11="Y",((VLOOKUP(N11,INDIRECT($O$3),6,0)-VLOOKUP(N11,INDIRECT($O$3),7,0))*INDIRECT($N$2)+T11),VLOOKUP(N11,INDIRECT($O$3),6,0))</f>
        <v>53.198858022005382</v>
      </c>
      <c r="T11" s="135">
        <v>7.0000000000000007E-2</v>
      </c>
      <c r="U11" s="62" t="str">
        <f t="shared" ref="U11:U14" si="4">N11</f>
        <v>04600C</v>
      </c>
      <c r="V11" s="62" t="str">
        <f t="shared" ref="V11:V14" si="5">O11</f>
        <v>Y</v>
      </c>
      <c r="W11" s="62" t="str">
        <f t="shared" ref="W11:W14" si="6">P11</f>
        <v>02</v>
      </c>
      <c r="X11" s="62" t="str">
        <f t="shared" ref="X11:X14" si="7">Q11</f>
        <v>Foreman, Electrician</v>
      </c>
      <c r="Y11" s="118">
        <f t="shared" ref="Y11:Y14" ca="1" si="8">ROUND(S11,3)</f>
        <v>53.198999999999998</v>
      </c>
    </row>
    <row r="12" spans="1:25" ht="13.2" customHeight="1" x14ac:dyDescent="0.45">
      <c r="B12" s="25" t="s">
        <v>51</v>
      </c>
      <c r="C12" s="25">
        <v>2</v>
      </c>
      <c r="D12" s="42" t="s">
        <v>59</v>
      </c>
      <c r="E12" s="25" t="s">
        <v>60</v>
      </c>
      <c r="F12" s="22" t="s">
        <v>61</v>
      </c>
      <c r="G12" s="24">
        <v>363</v>
      </c>
      <c r="H12" s="25">
        <v>8</v>
      </c>
      <c r="I12" s="25" t="s">
        <v>55</v>
      </c>
      <c r="J12" s="67">
        <f t="shared" ca="1" si="0"/>
        <v>54.721289912793424</v>
      </c>
      <c r="K12" s="20"/>
      <c r="L12" s="31"/>
      <c r="M12" s="20"/>
      <c r="N12" s="125" t="str">
        <f t="shared" si="1"/>
        <v>04605C</v>
      </c>
      <c r="O12" s="125" t="s">
        <v>160</v>
      </c>
      <c r="P12" s="125" t="str">
        <f t="shared" si="2"/>
        <v>03</v>
      </c>
      <c r="Q12" s="177" t="str">
        <f t="shared" si="3"/>
        <v xml:space="preserve">Foreman, (Master) Electrician </v>
      </c>
      <c r="R12" s="125"/>
      <c r="S12" s="128" cm="1">
        <f t="array" aca="1" ref="S12" ca="1">IF(O12="Y",((VLOOKUP(N12,INDIRECT($O$3),6,0)-VLOOKUP(N12,INDIRECT($O$3),7,0))*INDIRECT($N$2)+T12),VLOOKUP(N12,INDIRECT($O$3),6,0))</f>
        <v>54.721289912793424</v>
      </c>
      <c r="T12" s="135">
        <v>7.0000000000000007E-2</v>
      </c>
      <c r="U12" s="62" t="str">
        <f t="shared" si="4"/>
        <v>04605C</v>
      </c>
      <c r="V12" s="62" t="str">
        <f t="shared" si="5"/>
        <v>Y</v>
      </c>
      <c r="W12" s="62" t="str">
        <f t="shared" si="6"/>
        <v>03</v>
      </c>
      <c r="X12" s="62" t="str">
        <f t="shared" si="7"/>
        <v xml:space="preserve">Foreman, (Master) Electrician </v>
      </c>
      <c r="Y12" s="118">
        <f t="shared" ca="1" si="8"/>
        <v>54.720999999999997</v>
      </c>
    </row>
    <row r="13" spans="1:25" ht="13.2" customHeight="1" x14ac:dyDescent="0.45">
      <c r="B13" s="25" t="s">
        <v>51</v>
      </c>
      <c r="C13" s="25">
        <v>2</v>
      </c>
      <c r="D13" s="42" t="s">
        <v>62</v>
      </c>
      <c r="E13" s="25" t="s">
        <v>63</v>
      </c>
      <c r="F13" s="22" t="s">
        <v>64</v>
      </c>
      <c r="G13" s="24">
        <v>475</v>
      </c>
      <c r="H13" s="25">
        <v>10</v>
      </c>
      <c r="I13" s="25" t="s">
        <v>55</v>
      </c>
      <c r="J13" s="67">
        <f ca="1">S13</f>
        <v>56.243721803581479</v>
      </c>
      <c r="K13" s="20"/>
      <c r="L13" s="31"/>
      <c r="M13" s="20"/>
      <c r="N13" s="125" t="str">
        <f t="shared" si="1"/>
        <v>05140C</v>
      </c>
      <c r="O13" s="125" t="s">
        <v>160</v>
      </c>
      <c r="P13" s="125" t="str">
        <f t="shared" si="2"/>
        <v>CSU N42</v>
      </c>
      <c r="Q13" s="177" t="str">
        <f t="shared" si="3"/>
        <v>*General Foreman, Electrician</v>
      </c>
      <c r="R13" s="125"/>
      <c r="S13" s="128" cm="1">
        <f t="array" aca="1" ref="S13" ca="1">IF(O13="Y",((VLOOKUP(N13,INDIRECT($O$3),6,0)-VLOOKUP(N13,INDIRECT($O$3),7,0))*INDIRECT($N$2)+T13),VLOOKUP(N13,INDIRECT($O$3),6,0))</f>
        <v>56.243721803581479</v>
      </c>
      <c r="T13" s="135">
        <v>7.0000000000000007E-2</v>
      </c>
      <c r="U13" s="62" t="str">
        <f t="shared" si="4"/>
        <v>05140C</v>
      </c>
      <c r="V13" s="62" t="str">
        <f t="shared" si="5"/>
        <v>Y</v>
      </c>
      <c r="W13" s="62" t="str">
        <f t="shared" si="6"/>
        <v>CSU N42</v>
      </c>
      <c r="X13" s="62" t="str">
        <f t="shared" si="7"/>
        <v>*General Foreman, Electrician</v>
      </c>
      <c r="Y13" s="118">
        <f t="shared" ca="1" si="8"/>
        <v>56.244</v>
      </c>
    </row>
    <row r="14" spans="1:25" ht="13.2" customHeight="1" x14ac:dyDescent="0.45">
      <c r="B14" s="25" t="s">
        <v>51</v>
      </c>
      <c r="C14" s="25">
        <v>2</v>
      </c>
      <c r="D14" s="42" t="s">
        <v>62</v>
      </c>
      <c r="E14" s="25" t="s">
        <v>99</v>
      </c>
      <c r="F14" s="22" t="s">
        <v>100</v>
      </c>
      <c r="G14" s="24"/>
      <c r="H14" s="25">
        <v>10</v>
      </c>
      <c r="I14" s="25" t="s">
        <v>55</v>
      </c>
      <c r="J14" s="67">
        <f ca="1">S14</f>
        <v>56.243721803581479</v>
      </c>
      <c r="K14" s="20"/>
      <c r="L14" s="31"/>
      <c r="M14" s="20"/>
      <c r="N14" s="121" t="s">
        <v>99</v>
      </c>
      <c r="O14" s="121" t="s">
        <v>160</v>
      </c>
      <c r="P14" s="125" t="str">
        <f t="shared" si="2"/>
        <v>CSU N42</v>
      </c>
      <c r="Q14" s="177" t="str">
        <f t="shared" si="3"/>
        <v>*Supervisor Water Plant Electrical and Control Systems</v>
      </c>
      <c r="S14" s="128" cm="1">
        <f t="array" aca="1" ref="S14" ca="1">IF(O14="Y",((VLOOKUP(N14,INDIRECT($O$3),6,0)-VLOOKUP(N14,INDIRECT($O$3),7,0))*INDIRECT($N$2)+T14),VLOOKUP(N14,INDIRECT($O$3),6,0))</f>
        <v>56.243721803581479</v>
      </c>
      <c r="T14" s="135">
        <v>7.0000000000000007E-2</v>
      </c>
      <c r="U14" s="62" t="str">
        <f t="shared" si="4"/>
        <v>10375C</v>
      </c>
      <c r="V14" s="62" t="str">
        <f t="shared" si="5"/>
        <v>Y</v>
      </c>
      <c r="W14" s="62" t="str">
        <f t="shared" si="6"/>
        <v>CSU N42</v>
      </c>
      <c r="X14" s="62" t="str">
        <f t="shared" si="7"/>
        <v>*Supervisor Water Plant Electrical and Control Systems</v>
      </c>
      <c r="Y14" s="118">
        <f t="shared" ca="1" si="8"/>
        <v>56.244</v>
      </c>
    </row>
    <row r="15" spans="1:25" ht="13.2" customHeight="1" x14ac:dyDescent="0.45">
      <c r="B15" s="25"/>
      <c r="C15" s="25"/>
      <c r="D15" s="42"/>
      <c r="E15" s="25"/>
      <c r="F15" s="22"/>
      <c r="G15" s="24"/>
      <c r="J15" s="67"/>
      <c r="K15" s="20"/>
      <c r="L15" s="31"/>
      <c r="M15" s="20"/>
      <c r="N15" s="125"/>
      <c r="O15" s="125"/>
      <c r="P15" s="125"/>
      <c r="Q15" s="125"/>
      <c r="R15" s="125"/>
    </row>
    <row r="16" spans="1:25" ht="13.2" customHeight="1" x14ac:dyDescent="0.45">
      <c r="B16" s="18"/>
      <c r="C16" s="18"/>
      <c r="D16" s="32"/>
      <c r="E16" s="18"/>
      <c r="F16" s="22" t="s">
        <v>101</v>
      </c>
      <c r="G16" s="23"/>
      <c r="H16" s="18"/>
      <c r="I16" s="18"/>
      <c r="J16" s="30"/>
      <c r="K16" s="20"/>
      <c r="L16" s="31"/>
      <c r="M16" s="20"/>
      <c r="N16" s="125"/>
      <c r="O16" s="125"/>
      <c r="P16" s="125"/>
      <c r="Q16" s="125"/>
      <c r="R16" s="125"/>
    </row>
    <row r="17" spans="3:25" ht="13.2" customHeight="1" x14ac:dyDescent="0.45">
      <c r="C17" s="1" t="s">
        <v>66</v>
      </c>
      <c r="D17" s="2"/>
      <c r="H17" s="2"/>
      <c r="I17" s="2"/>
      <c r="J17" s="2"/>
      <c r="K17" s="3"/>
      <c r="L17" s="3"/>
      <c r="M17" s="3"/>
      <c r="N17" s="129"/>
      <c r="O17" s="129"/>
      <c r="P17" s="129"/>
      <c r="Q17" s="129"/>
      <c r="R17" s="129"/>
      <c r="S17" s="130"/>
    </row>
    <row r="18" spans="3:25" ht="13.2" customHeight="1" x14ac:dyDescent="0.45">
      <c r="C18" s="8" t="s">
        <v>67</v>
      </c>
      <c r="G18" s="5"/>
      <c r="H18" s="6"/>
      <c r="I18" s="6"/>
      <c r="J18" s="7"/>
      <c r="K18" s="7"/>
      <c r="L18" s="3"/>
      <c r="M18" s="3"/>
      <c r="N18" s="129"/>
      <c r="O18" s="129"/>
      <c r="P18" s="129"/>
      <c r="Q18" s="129"/>
      <c r="R18" s="129"/>
      <c r="S18" s="130"/>
    </row>
    <row r="19" spans="3:25" ht="13.2" customHeight="1" x14ac:dyDescent="0.45">
      <c r="C19" s="144">
        <f ca="1">S19</f>
        <v>0.2885675785582788</v>
      </c>
      <c r="D19" s="5" t="s">
        <v>68</v>
      </c>
      <c r="I19" s="10"/>
      <c r="J19" s="11"/>
      <c r="K19" s="11"/>
      <c r="L19" s="12"/>
      <c r="M19" s="12"/>
      <c r="N19" s="129" t="s">
        <v>69</v>
      </c>
      <c r="O19" s="129" t="s">
        <v>160</v>
      </c>
      <c r="P19" s="129"/>
      <c r="Q19" s="124" t="s">
        <v>102</v>
      </c>
      <c r="R19" s="129"/>
      <c r="S19" s="128" cm="1">
        <f t="array" aca="1" ref="S19" ca="1">IF(O19="Y",VLOOKUP(N19,INDIRECT($O$3),6,0)*INDIRECT($N$2),VLOOKUP(N19,INDIRECT($O$3),6,0))</f>
        <v>0.2885675785582788</v>
      </c>
      <c r="U19" s="62" t="str">
        <f t="shared" ref="U19:U22" si="9">N19</f>
        <v>LNG10</v>
      </c>
      <c r="V19" s="62" t="str">
        <f t="shared" ref="V19:V22" si="10">O19</f>
        <v>Y</v>
      </c>
      <c r="W19" s="62">
        <f t="shared" ref="W19:W22" si="11">P19</f>
        <v>0</v>
      </c>
      <c r="X19" s="62" t="str">
        <f t="shared" ref="X19:X22" si="12">Q19</f>
        <v>Longevity - 10 years</v>
      </c>
      <c r="Y19" s="118">
        <f t="shared" ref="Y19:Y22" ca="1" si="13">ROUND(S19,3)</f>
        <v>0.28899999999999998</v>
      </c>
    </row>
    <row r="20" spans="3:25" ht="13.2" customHeight="1" x14ac:dyDescent="0.45">
      <c r="C20" s="144">
        <f ca="1">S20</f>
        <v>0.39870787571792726</v>
      </c>
      <c r="D20" s="5" t="s">
        <v>70</v>
      </c>
      <c r="I20" s="10"/>
      <c r="J20" s="11"/>
      <c r="K20" s="11"/>
      <c r="L20" s="12"/>
      <c r="M20" s="12"/>
      <c r="N20" s="129" t="s">
        <v>71</v>
      </c>
      <c r="O20" s="129" t="s">
        <v>160</v>
      </c>
      <c r="P20" s="129"/>
      <c r="Q20" s="124" t="s">
        <v>103</v>
      </c>
      <c r="R20" s="129"/>
      <c r="S20" s="128" cm="1">
        <f t="array" aca="1" ref="S20" ca="1">IF(O20="Y",VLOOKUP(N20,INDIRECT($O$3),6,0)*INDIRECT($N$2),VLOOKUP(N20,INDIRECT($O$3),6,0))</f>
        <v>0.39870787571792726</v>
      </c>
      <c r="U20" s="62" t="str">
        <f t="shared" si="9"/>
        <v>LNG15</v>
      </c>
      <c r="V20" s="62" t="str">
        <f t="shared" si="10"/>
        <v>Y</v>
      </c>
      <c r="W20" s="62">
        <f t="shared" si="11"/>
        <v>0</v>
      </c>
      <c r="X20" s="62" t="str">
        <f t="shared" si="12"/>
        <v>Longevity - 15 years</v>
      </c>
      <c r="Y20" s="118">
        <f t="shared" ca="1" si="13"/>
        <v>0.39900000000000002</v>
      </c>
    </row>
    <row r="21" spans="3:25" ht="13.2" customHeight="1" x14ac:dyDescent="0.45">
      <c r="C21" s="144">
        <f ca="1">S21</f>
        <v>0.63550951461117122</v>
      </c>
      <c r="D21" s="5" t="s">
        <v>72</v>
      </c>
      <c r="I21" s="10"/>
      <c r="J21" s="11"/>
      <c r="K21" s="11"/>
      <c r="L21" s="12"/>
      <c r="M21" s="12"/>
      <c r="N21" s="129" t="s">
        <v>73</v>
      </c>
      <c r="O21" s="129" t="s">
        <v>160</v>
      </c>
      <c r="P21" s="129"/>
      <c r="Q21" s="124" t="s">
        <v>104</v>
      </c>
      <c r="R21" s="129"/>
      <c r="S21" s="128" cm="1">
        <f t="array" aca="1" ref="S21" ca="1">IF(O21="Y",VLOOKUP(N21,INDIRECT($O$3),6,0)*INDIRECT($N$2),VLOOKUP(N21,INDIRECT($O$3),6,0))</f>
        <v>0.63550951461117122</v>
      </c>
      <c r="U21" s="62" t="str">
        <f t="shared" si="9"/>
        <v>LNG20</v>
      </c>
      <c r="V21" s="62" t="str">
        <f t="shared" si="10"/>
        <v>Y</v>
      </c>
      <c r="W21" s="62">
        <f t="shared" si="11"/>
        <v>0</v>
      </c>
      <c r="X21" s="62" t="str">
        <f t="shared" si="12"/>
        <v>Longevity - 20 years</v>
      </c>
      <c r="Y21" s="118">
        <f t="shared" ca="1" si="13"/>
        <v>0.63600000000000001</v>
      </c>
    </row>
    <row r="22" spans="3:25" ht="13.2" customHeight="1" x14ac:dyDescent="0.45">
      <c r="C22" s="144">
        <f ca="1">S22</f>
        <v>0.95271357043095872</v>
      </c>
      <c r="D22" s="5" t="s">
        <v>74</v>
      </c>
      <c r="I22" s="10"/>
      <c r="J22" s="11"/>
      <c r="K22" s="11"/>
      <c r="L22" s="12"/>
      <c r="M22" s="12"/>
      <c r="N22" s="129" t="s">
        <v>75</v>
      </c>
      <c r="O22" s="129" t="s">
        <v>160</v>
      </c>
      <c r="P22" s="129"/>
      <c r="Q22" s="124" t="s">
        <v>105</v>
      </c>
      <c r="R22" s="129"/>
      <c r="S22" s="128" cm="1">
        <f t="array" aca="1" ref="S22" ca="1">IF(O22="Y",VLOOKUP(N22,INDIRECT($O$3),6,0)*INDIRECT($N$2),VLOOKUP(N22,INDIRECT($O$3),6,0))</f>
        <v>0.95271357043095872</v>
      </c>
      <c r="U22" s="62" t="str">
        <f t="shared" si="9"/>
        <v>LNG25</v>
      </c>
      <c r="V22" s="62" t="str">
        <f t="shared" si="10"/>
        <v>Y</v>
      </c>
      <c r="W22" s="62">
        <f t="shared" si="11"/>
        <v>0</v>
      </c>
      <c r="X22" s="62" t="str">
        <f t="shared" si="12"/>
        <v>Longevity - 25 years</v>
      </c>
      <c r="Y22" s="118">
        <f t="shared" ca="1" si="13"/>
        <v>0.95299999999999996</v>
      </c>
    </row>
    <row r="23" spans="3:25" ht="13.2" customHeight="1" x14ac:dyDescent="0.45"/>
    <row r="24" spans="3:25" ht="13.2" customHeight="1" x14ac:dyDescent="0.45">
      <c r="C24" s="1" t="s">
        <v>76</v>
      </c>
    </row>
    <row r="25" spans="3:25" ht="13.2" customHeight="1" x14ac:dyDescent="0.45">
      <c r="C25" s="46" t="str">
        <f ca="1">"Provided that a night shift differential of "&amp;TEXT(S25,"$#.000")&amp;" per hour for each hour, or fraction thereof, they"</f>
        <v>Provided that a night shift differential of $2.338 per hour for each hour, or fraction thereof, they</v>
      </c>
      <c r="G25" s="33"/>
      <c r="H25" s="19"/>
      <c r="N25" s="121" t="s">
        <v>79</v>
      </c>
      <c r="O25" s="129" t="s">
        <v>160</v>
      </c>
      <c r="P25" s="129"/>
      <c r="Q25" s="124" t="s">
        <v>106</v>
      </c>
      <c r="S25" s="128" cm="1">
        <f t="array" aca="1" ref="S25" ca="1">IF(O25="Y",VLOOKUP(N25,INDIRECT($O$3),6,0)*INDIRECT($N$2),VLOOKUP(N25,INDIRECT($O$3),6,0))</f>
        <v>2.3384554235135218</v>
      </c>
      <c r="U25" s="62" t="str">
        <f t="shared" ref="U25:U26" si="14">N25</f>
        <v>CELEVE</v>
      </c>
      <c r="V25" s="62" t="str">
        <f t="shared" ref="V25:V26" si="15">O25</f>
        <v>Y</v>
      </c>
      <c r="W25" s="62">
        <f t="shared" ref="W25:W26" si="16">P25</f>
        <v>0</v>
      </c>
      <c r="X25" s="62" t="str">
        <f t="shared" ref="X25:X26" si="17">Q25</f>
        <v>TL-Evening Shift Premium-CEL</v>
      </c>
      <c r="Y25" s="118">
        <f t="shared" ref="Y25:Y26" ca="1" si="18">ROUND(S25,3)</f>
        <v>2.3380000000000001</v>
      </c>
    </row>
    <row r="26" spans="3:25" ht="13.2" customHeight="1" x14ac:dyDescent="0.45">
      <c r="C26" s="46" t="s">
        <v>80</v>
      </c>
      <c r="N26" s="121" t="s">
        <v>81</v>
      </c>
      <c r="O26" s="129" t="s">
        <v>160</v>
      </c>
      <c r="P26" s="129"/>
      <c r="Q26" s="124" t="s">
        <v>107</v>
      </c>
      <c r="S26" s="128" cm="1">
        <f t="array" aca="1" ref="S26" ca="1">IF(O26="Y",VLOOKUP(N26,INDIRECT($O$3),6,0)*INDIRECT($N$2),VLOOKUP(N26,INDIRECT($O$3),6,0))</f>
        <v>2.3384554235135218</v>
      </c>
      <c r="U26" s="62" t="str">
        <f t="shared" si="14"/>
        <v>CELSGT</v>
      </c>
      <c r="V26" s="62" t="str">
        <f t="shared" si="15"/>
        <v>Y</v>
      </c>
      <c r="W26" s="62">
        <f t="shared" si="16"/>
        <v>0</v>
      </c>
      <c r="X26" s="62" t="str">
        <f t="shared" si="17"/>
        <v>TL-Signal Truck Premium-CEL</v>
      </c>
      <c r="Y26" s="118">
        <f t="shared" ca="1" si="18"/>
        <v>2.3380000000000001</v>
      </c>
    </row>
    <row r="27" spans="3:25" ht="13.2" customHeight="1" x14ac:dyDescent="0.45">
      <c r="C27" s="46" t="s">
        <v>82</v>
      </c>
    </row>
    <row r="28" spans="3:25" ht="13.2" customHeight="1" x14ac:dyDescent="0.45">
      <c r="C28" s="46"/>
    </row>
    <row r="29" spans="3:25" ht="13.2" customHeight="1" x14ac:dyDescent="0.45">
      <c r="C29" s="46" t="str">
        <f ca="1">"Provided that a weekend shift differential of "&amp;TEXT(S29,"$#.000")&amp;" per hour shall be paid to employees who work"</f>
        <v>Provided that a weekend shift differential of $1.586 per hour shall be paid to employees who work</v>
      </c>
      <c r="G29" s="35"/>
      <c r="H29" s="19"/>
      <c r="N29" s="121" t="s">
        <v>85</v>
      </c>
      <c r="O29" s="129" t="s">
        <v>160</v>
      </c>
      <c r="P29" s="129"/>
      <c r="Q29" s="124" t="s">
        <v>108</v>
      </c>
      <c r="S29" s="128" cm="1">
        <f t="array" aca="1" ref="S29" ca="1">IF(O29="Y",VLOOKUP(N29,INDIRECT($O$3),6,0)*INDIRECT($N$2),VLOOKUP(N29,INDIRECT($O$3),6,0))</f>
        <v>1.5856005413102301</v>
      </c>
      <c r="U29" s="62" t="str">
        <f t="shared" ref="U29" si="19">N29</f>
        <v>CELWKE</v>
      </c>
      <c r="V29" s="62" t="str">
        <f t="shared" ref="V29" si="20">O29</f>
        <v>Y</v>
      </c>
      <c r="W29" s="62">
        <f t="shared" ref="W29" si="21">P29</f>
        <v>0</v>
      </c>
      <c r="X29" s="62" t="str">
        <f t="shared" ref="X29" si="22">Q29</f>
        <v>TL-Wkend Shift dif CEL</v>
      </c>
      <c r="Y29" s="118">
        <f t="shared" ref="Y29" ca="1" si="23">ROUND(S29,3)</f>
        <v>1.5860000000000001</v>
      </c>
    </row>
    <row r="30" spans="3:25" ht="13.2" customHeight="1" x14ac:dyDescent="0.45">
      <c r="C30" s="46" t="s">
        <v>86</v>
      </c>
    </row>
    <row r="31" spans="3:25" ht="13.2" customHeight="1" x14ac:dyDescent="0.45">
      <c r="F31" s="19"/>
    </row>
    <row r="32" spans="3:25" ht="13.2" customHeight="1" x14ac:dyDescent="0.45">
      <c r="C32" s="68" t="str">
        <f ca="1">"Provided that a premium of "&amp;TEXT(S32,"$#.000")&amp;" per hour shall be paid to employees for hours worked while performing welding work."</f>
        <v>Provided that a premium of $1.085 per hour shall be paid to employees for hours worked while performing welding work.</v>
      </c>
      <c r="D32" s="3"/>
      <c r="N32" s="129" t="s">
        <v>136</v>
      </c>
      <c r="O32" s="129" t="s">
        <v>160</v>
      </c>
      <c r="P32" s="129"/>
      <c r="Q32" s="124" t="s">
        <v>137</v>
      </c>
      <c r="R32" s="129"/>
      <c r="S32" s="128" cm="1">
        <f t="array" aca="1" ref="S32" ca="1">IF(O32="Y",VLOOKUP(N32,INDIRECT($O$3),6,0)*INDIRECT($N$2),VLOOKUP(N32,INDIRECT($O$3),6,0))</f>
        <v>1.0851260803906246</v>
      </c>
      <c r="U32" s="62" t="str">
        <f t="shared" ref="U32" si="24">N32</f>
        <v>CELWLD</v>
      </c>
      <c r="V32" s="62" t="str">
        <f t="shared" ref="V32" si="25">O32</f>
        <v>Y</v>
      </c>
      <c r="W32" s="62">
        <f t="shared" ref="W32" si="26">P32</f>
        <v>0</v>
      </c>
      <c r="X32" s="62" t="str">
        <f t="shared" ref="X32" si="27">Q32</f>
        <v>Welding premium - add to COMET</v>
      </c>
      <c r="Y32" s="118">
        <f t="shared" ref="Y32" ca="1" si="28">ROUND(S32,3)</f>
        <v>1.085</v>
      </c>
    </row>
    <row r="33" spans="1:25" ht="13.2" customHeight="1" x14ac:dyDescent="0.45">
      <c r="C33" s="68"/>
      <c r="D33" s="3"/>
      <c r="N33" s="129"/>
      <c r="O33" s="129"/>
      <c r="P33" s="129"/>
      <c r="Q33" s="129"/>
      <c r="R33" s="129"/>
      <c r="S33" s="130"/>
    </row>
    <row r="34" spans="1:25" s="12" customFormat="1" x14ac:dyDescent="0.45">
      <c r="C34" s="12" t="s">
        <v>109</v>
      </c>
      <c r="N34" s="129" t="s">
        <v>87</v>
      </c>
      <c r="O34" s="129" t="s">
        <v>51</v>
      </c>
      <c r="P34" s="129"/>
      <c r="Q34" s="124" t="s">
        <v>110</v>
      </c>
      <c r="R34" s="129"/>
      <c r="S34" s="128" cm="1">
        <f t="array" aca="1" ref="S34" ca="1">IF(O34="Y",VLOOKUP(N34,INDIRECT($O$3),6,0)*INDIRECT($N$2),VLOOKUP(N34,INDIRECT($O$3),6,0))</f>
        <v>35</v>
      </c>
      <c r="T34" s="133"/>
      <c r="U34" s="62" t="str">
        <f t="shared" ref="U34:U35" si="29">N34</f>
        <v>CELCDY</v>
      </c>
      <c r="V34" s="62" t="str">
        <f t="shared" ref="V34:V35" si="30">O34</f>
        <v>N</v>
      </c>
      <c r="W34" s="62">
        <f t="shared" ref="W34:W35" si="31">P34</f>
        <v>0</v>
      </c>
      <c r="X34" s="62" t="str">
        <f t="shared" ref="X34:X35" si="32">Q34</f>
        <v>TL-On call by the day-CEL</v>
      </c>
      <c r="Y34" s="118">
        <f t="shared" ref="Y34:Y35" ca="1" si="33">S34</f>
        <v>35</v>
      </c>
    </row>
    <row r="35" spans="1:25" s="12" customFormat="1" x14ac:dyDescent="0.45">
      <c r="C35" s="68" t="s">
        <v>111</v>
      </c>
      <c r="N35" s="129" t="s">
        <v>88</v>
      </c>
      <c r="O35" s="129" t="s">
        <v>51</v>
      </c>
      <c r="P35" s="129"/>
      <c r="Q35" s="124" t="s">
        <v>112</v>
      </c>
      <c r="R35" s="129"/>
      <c r="S35" s="128" cm="1">
        <f t="array" aca="1" ref="S35" ca="1">IF(O35="Y",VLOOKUP(N35,INDIRECT($O$3),6,0)*INDIRECT($N$2),VLOOKUP(N35,INDIRECT($O$3),6,0))</f>
        <v>45</v>
      </c>
      <c r="T35" s="133"/>
      <c r="U35" s="62" t="str">
        <f t="shared" si="29"/>
        <v>CELCWE</v>
      </c>
      <c r="V35" s="62" t="str">
        <f t="shared" si="30"/>
        <v>N</v>
      </c>
      <c r="W35" s="62">
        <f t="shared" si="31"/>
        <v>0</v>
      </c>
      <c r="X35" s="62" t="str">
        <f t="shared" si="32"/>
        <v>TL-On call by day Weekend-CEL</v>
      </c>
      <c r="Y35" s="118">
        <f t="shared" ca="1" si="33"/>
        <v>45</v>
      </c>
    </row>
    <row r="36" spans="1:25" s="3" customFormat="1" x14ac:dyDescent="0.45">
      <c r="C36" s="68" t="s">
        <v>113</v>
      </c>
      <c r="N36" s="129"/>
      <c r="O36" s="129"/>
      <c r="P36" s="129"/>
      <c r="Q36" t="s">
        <v>175</v>
      </c>
      <c r="R36" s="129"/>
      <c r="S36" s="131"/>
      <c r="T36" s="134"/>
      <c r="U36" s="53"/>
      <c r="V36" s="53"/>
      <c r="W36" s="53"/>
      <c r="X36" s="53"/>
      <c r="Y36" s="53"/>
    </row>
    <row r="37" spans="1:25" s="3" customFormat="1" x14ac:dyDescent="0.45">
      <c r="C37" s="68" t="s">
        <v>114</v>
      </c>
      <c r="N37" s="129"/>
      <c r="O37" s="129"/>
      <c r="P37" s="129"/>
      <c r="Q37" s="129"/>
      <c r="R37" s="129"/>
      <c r="S37" s="131"/>
      <c r="T37" s="134"/>
      <c r="U37" s="53"/>
      <c r="V37" s="53"/>
      <c r="W37" s="53"/>
      <c r="X37" s="53"/>
      <c r="Y37" s="53"/>
    </row>
    <row r="38" spans="1:25" s="3" customFormat="1" x14ac:dyDescent="0.45">
      <c r="C38" s="68" t="s">
        <v>115</v>
      </c>
      <c r="N38" s="129"/>
      <c r="O38" s="129"/>
      <c r="P38" s="129"/>
      <c r="Q38" s="129"/>
      <c r="R38" s="129"/>
      <c r="S38" s="131"/>
      <c r="T38" s="134"/>
      <c r="U38" s="53"/>
      <c r="V38" s="53"/>
      <c r="W38" s="53"/>
      <c r="X38" s="53"/>
      <c r="Y38" s="53"/>
    </row>
    <row r="39" spans="1:25" s="3" customFormat="1" x14ac:dyDescent="0.45">
      <c r="N39" s="129"/>
      <c r="O39" s="129"/>
      <c r="P39" s="129"/>
      <c r="Q39" s="129"/>
      <c r="R39" s="129"/>
      <c r="S39" s="131"/>
      <c r="T39" s="134"/>
      <c r="U39" s="53"/>
      <c r="V39" s="53"/>
      <c r="W39" s="53"/>
      <c r="X39" s="53"/>
      <c r="Y39" s="53"/>
    </row>
    <row r="40" spans="1:25" s="3" customFormat="1" x14ac:dyDescent="0.45">
      <c r="N40" s="129"/>
      <c r="O40" s="129"/>
      <c r="P40" s="129"/>
      <c r="Q40" s="129"/>
      <c r="R40" s="129"/>
      <c r="S40" s="131"/>
      <c r="T40" s="134"/>
      <c r="U40" s="53"/>
      <c r="V40" s="53"/>
      <c r="W40" s="53"/>
      <c r="X40" s="53"/>
      <c r="Y40" s="53"/>
    </row>
    <row r="41" spans="1:25" s="3" customFormat="1" x14ac:dyDescent="0.45">
      <c r="N41" s="129"/>
      <c r="O41" s="129"/>
      <c r="P41" s="129"/>
      <c r="Q41" s="129"/>
      <c r="R41" s="129"/>
      <c r="S41" s="131"/>
      <c r="T41" s="134"/>
      <c r="U41" s="53"/>
      <c r="V41" s="53"/>
      <c r="W41" s="53"/>
      <c r="X41" s="53"/>
      <c r="Y41" s="53"/>
    </row>
    <row r="42" spans="1:25" s="3" customFormat="1" x14ac:dyDescent="0.45">
      <c r="A42" s="3" t="s">
        <v>161</v>
      </c>
      <c r="J42" s="3" t="s">
        <v>162</v>
      </c>
      <c r="N42" s="129"/>
      <c r="O42" s="129"/>
      <c r="P42" s="129"/>
      <c r="Q42" s="129"/>
      <c r="R42" s="129"/>
      <c r="S42" s="131"/>
      <c r="T42" s="134"/>
      <c r="U42" s="53"/>
      <c r="V42" s="53"/>
      <c r="W42" s="53"/>
      <c r="X42" s="53"/>
      <c r="Y42" s="53"/>
    </row>
    <row r="43" spans="1:25" s="3" customFormat="1" x14ac:dyDescent="0.45">
      <c r="N43" s="129"/>
      <c r="O43" s="129"/>
      <c r="P43" s="129"/>
      <c r="Q43" s="129"/>
      <c r="R43" s="129"/>
      <c r="S43" s="131"/>
      <c r="T43" s="134"/>
      <c r="U43" s="53"/>
      <c r="V43" s="53"/>
      <c r="W43" s="53"/>
      <c r="X43" s="53"/>
      <c r="Y43" s="53"/>
    </row>
    <row r="44" spans="1:25" s="3" customFormat="1" x14ac:dyDescent="0.45">
      <c r="N44" s="129"/>
      <c r="O44" s="129"/>
      <c r="P44" s="129"/>
      <c r="Q44" s="129"/>
      <c r="R44" s="129"/>
      <c r="S44" s="131"/>
      <c r="T44" s="134"/>
      <c r="U44" s="53"/>
      <c r="V44" s="53"/>
      <c r="W44" s="53"/>
      <c r="X44" s="53"/>
      <c r="Y44" s="53"/>
    </row>
    <row r="45" spans="1:25" s="3" customFormat="1" x14ac:dyDescent="0.45">
      <c r="N45" s="129"/>
      <c r="O45" s="129"/>
      <c r="P45" s="129"/>
      <c r="Q45" s="129"/>
      <c r="R45" s="129"/>
      <c r="S45" s="131"/>
      <c r="T45" s="134"/>
      <c r="U45" s="53"/>
      <c r="V45" s="53"/>
      <c r="W45" s="53"/>
      <c r="X45" s="53"/>
      <c r="Y45" s="53"/>
    </row>
    <row r="46" spans="1:25" s="3" customFormat="1" x14ac:dyDescent="0.45">
      <c r="N46" s="129"/>
      <c r="O46" s="129"/>
      <c r="P46" s="129"/>
      <c r="Q46" s="129"/>
      <c r="R46" s="129"/>
      <c r="S46" s="131"/>
      <c r="T46" s="134"/>
      <c r="U46" s="53"/>
      <c r="V46" s="53"/>
      <c r="W46" s="53"/>
      <c r="X46" s="53"/>
      <c r="Y46" s="53"/>
    </row>
    <row r="47" spans="1:25" s="3" customFormat="1" x14ac:dyDescent="0.45">
      <c r="B47" s="29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32"/>
      <c r="O47" s="132"/>
      <c r="P47" s="132"/>
      <c r="Q47" s="132"/>
      <c r="R47" s="132"/>
      <c r="S47" s="131"/>
      <c r="T47" s="134"/>
      <c r="U47" s="53"/>
      <c r="V47" s="53"/>
      <c r="W47" s="53"/>
      <c r="X47" s="53"/>
      <c r="Y47" s="53"/>
    </row>
    <row r="48" spans="1:25" s="3" customFormat="1" x14ac:dyDescent="0.4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2"/>
      <c r="O48" s="132"/>
      <c r="P48" s="132"/>
      <c r="Q48" s="132"/>
      <c r="R48" s="132"/>
      <c r="S48" s="131"/>
      <c r="T48" s="134"/>
      <c r="U48" s="53"/>
      <c r="V48" s="53"/>
      <c r="W48" s="53"/>
      <c r="X48" s="53"/>
      <c r="Y48" s="53"/>
    </row>
    <row r="49" spans="2:25" s="17" customFormat="1" x14ac:dyDescent="0.45">
      <c r="B49" s="14"/>
      <c r="C49" s="14"/>
      <c r="D49" s="14"/>
      <c r="E49" s="14"/>
      <c r="F49" s="14"/>
      <c r="G49" s="14"/>
      <c r="H49" s="14"/>
      <c r="I49" s="14"/>
      <c r="J49" s="16"/>
      <c r="K49" s="14"/>
      <c r="L49" s="14"/>
      <c r="M49" s="14"/>
      <c r="N49" s="132"/>
      <c r="O49" s="132"/>
      <c r="P49" s="132"/>
      <c r="Q49" s="132"/>
      <c r="R49" s="132"/>
      <c r="S49" s="131"/>
      <c r="T49" s="129"/>
      <c r="U49" s="49"/>
      <c r="V49" s="49"/>
      <c r="W49" s="49"/>
      <c r="X49" s="49"/>
      <c r="Y49" s="49"/>
    </row>
    <row r="50" spans="2:25" s="3" customFormat="1" x14ac:dyDescent="0.45">
      <c r="B50" s="17"/>
      <c r="C50" s="17"/>
      <c r="D50" s="17"/>
      <c r="G50" s="17"/>
      <c r="H50" s="17"/>
      <c r="J50" s="16"/>
      <c r="K50" s="16"/>
      <c r="L50" s="16"/>
      <c r="N50" s="129"/>
      <c r="O50" s="129"/>
      <c r="P50" s="129"/>
      <c r="Q50" s="129"/>
      <c r="R50" s="129"/>
      <c r="S50" s="131"/>
      <c r="T50" s="134"/>
      <c r="U50" s="53"/>
      <c r="V50" s="53"/>
      <c r="W50" s="53"/>
      <c r="X50" s="53"/>
      <c r="Y50" s="53"/>
    </row>
    <row r="51" spans="2:25" s="3" customFormat="1" x14ac:dyDescent="0.45">
      <c r="N51" s="129"/>
      <c r="O51" s="129"/>
      <c r="P51" s="129"/>
      <c r="Q51" s="129"/>
      <c r="R51" s="129"/>
      <c r="S51" s="131"/>
      <c r="T51" s="134"/>
      <c r="U51" s="53"/>
      <c r="V51" s="53"/>
      <c r="W51" s="53"/>
      <c r="X51" s="53"/>
      <c r="Y51" s="53"/>
    </row>
    <row r="52" spans="2:25" s="3" customFormat="1" x14ac:dyDescent="0.45">
      <c r="N52" s="129"/>
      <c r="O52" s="129"/>
      <c r="P52" s="129"/>
      <c r="Q52" s="129"/>
      <c r="R52" s="129"/>
      <c r="S52" s="131"/>
      <c r="T52" s="134"/>
      <c r="U52" s="53"/>
      <c r="V52" s="53"/>
      <c r="W52" s="53"/>
      <c r="X52" s="53"/>
      <c r="Y52" s="53"/>
    </row>
  </sheetData>
  <sheetProtection sheet="1" objects="1" scenarios="1"/>
  <pageMargins left="0" right="0" top="1" bottom="0.5" header="0.5" footer="0.5"/>
  <pageSetup scale="94" fitToHeight="2" orientation="landscape" horizont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EA89-D67A-4D58-B82C-4FDE4B5C0C9C}">
  <sheetPr>
    <pageSetUpPr fitToPage="1"/>
  </sheetPr>
  <dimension ref="A1:Y52"/>
  <sheetViews>
    <sheetView showGridLines="0" topLeftCell="A4" zoomScaleNormal="100" workbookViewId="0">
      <selection activeCell="T35" sqref="T35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70312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5.703125" style="25" bestFit="1" customWidth="1"/>
    <col min="9" max="9" width="4.7031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7.5859375" style="121" bestFit="1" customWidth="1"/>
    <col min="15" max="15" width="12.5859375" style="121" bestFit="1" customWidth="1"/>
    <col min="16" max="16" width="8.5859375" style="121" bestFit="1" customWidth="1"/>
    <col min="17" max="17" width="45.5859375" style="121" bestFit="1" customWidth="1"/>
    <col min="18" max="18" width="15.87890625" style="121" hidden="1" customWidth="1"/>
    <col min="19" max="19" width="8.1171875" style="128" bestFit="1" customWidth="1"/>
    <col min="20" max="20" width="12.1171875" style="124" bestFit="1" customWidth="1"/>
    <col min="21" max="21" width="11" style="62" bestFit="1" customWidth="1"/>
    <col min="22" max="22" width="6.5859375" style="62" bestFit="1" customWidth="1"/>
    <col min="23" max="23" width="8.5859375" style="62" bestFit="1" customWidth="1"/>
    <col min="24" max="24" width="45.5859375" style="62" bestFit="1" customWidth="1"/>
    <col min="25" max="25" width="8.1171875" style="62" bestFit="1" customWidth="1"/>
    <col min="26" max="16384" width="11.41015625" style="21"/>
  </cols>
  <sheetData>
    <row r="1" spans="1:25" x14ac:dyDescent="0.45">
      <c r="A1" s="21" t="s">
        <v>138</v>
      </c>
    </row>
    <row r="2" spans="1:25" x14ac:dyDescent="0.45">
      <c r="B2" s="72" t="s">
        <v>89</v>
      </c>
      <c r="N2" s="119" t="s">
        <v>176</v>
      </c>
      <c r="O2" s="120">
        <v>1.0449999999999999</v>
      </c>
      <c r="P2" s="120"/>
      <c r="R2" s="122"/>
      <c r="S2" s="123"/>
    </row>
    <row r="3" spans="1:25" ht="13.2" customHeight="1" x14ac:dyDescent="0.45">
      <c r="B3" s="19" t="s">
        <v>140</v>
      </c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177" t="s">
        <v>141</v>
      </c>
      <c r="O3" s="124" t="s">
        <v>177</v>
      </c>
      <c r="P3" s="124"/>
      <c r="Q3" s="125"/>
      <c r="R3" s="126"/>
      <c r="S3" s="127"/>
    </row>
    <row r="4" spans="1:25" ht="13.2" customHeight="1" x14ac:dyDescent="0.45">
      <c r="B4" s="22" t="s">
        <v>178</v>
      </c>
      <c r="C4" s="18"/>
      <c r="D4" s="18"/>
      <c r="E4" s="18"/>
      <c r="F4" s="19"/>
      <c r="G4" s="18"/>
      <c r="H4" s="18"/>
      <c r="I4" s="18"/>
      <c r="J4" s="20"/>
      <c r="K4" s="20"/>
      <c r="L4" s="20"/>
      <c r="M4" s="20"/>
      <c r="N4" s="177"/>
      <c r="O4" s="124"/>
      <c r="P4" s="124"/>
      <c r="Q4" s="125"/>
      <c r="R4" s="126"/>
      <c r="S4" s="127"/>
    </row>
    <row r="5" spans="1:25" ht="13.2" customHeight="1" x14ac:dyDescent="0.45">
      <c r="B5" s="22" t="s">
        <v>144</v>
      </c>
      <c r="C5" s="18"/>
      <c r="D5" s="18"/>
      <c r="E5" s="18"/>
      <c r="F5" s="19"/>
      <c r="G5" s="18"/>
      <c r="H5" s="18"/>
      <c r="I5" s="18"/>
      <c r="J5" s="20"/>
      <c r="K5" s="20"/>
      <c r="L5" s="20"/>
      <c r="M5" s="20"/>
      <c r="N5" s="177"/>
      <c r="O5" s="124"/>
      <c r="P5" s="124"/>
      <c r="Q5" s="125"/>
      <c r="R5" s="126"/>
      <c r="S5" s="127"/>
    </row>
    <row r="6" spans="1:25" ht="13.2" customHeight="1" x14ac:dyDescent="0.45">
      <c r="B6" s="19"/>
      <c r="C6" s="18"/>
      <c r="D6" s="18"/>
      <c r="E6" s="18"/>
      <c r="F6" s="19"/>
      <c r="G6" s="18"/>
      <c r="H6" s="18"/>
      <c r="I6" s="18"/>
      <c r="J6" s="20"/>
      <c r="K6" s="20"/>
      <c r="L6" s="20"/>
      <c r="M6" s="20"/>
      <c r="Q6" s="125"/>
      <c r="R6" s="125"/>
    </row>
    <row r="7" spans="1:25" ht="13.2" customHeight="1" x14ac:dyDescent="0.45">
      <c r="B7" s="22"/>
      <c r="C7" s="18" t="s">
        <v>145</v>
      </c>
      <c r="D7" s="18"/>
      <c r="E7" s="18"/>
      <c r="F7" s="19"/>
      <c r="G7" s="18"/>
      <c r="H7" s="143" t="s">
        <v>146</v>
      </c>
      <c r="I7" s="18" t="s">
        <v>147</v>
      </c>
      <c r="J7" s="18" t="s">
        <v>42</v>
      </c>
      <c r="K7" s="20"/>
      <c r="L7" s="20"/>
      <c r="M7" s="20"/>
      <c r="N7" s="125" t="s">
        <v>148</v>
      </c>
      <c r="O7" s="126"/>
      <c r="P7" s="126"/>
      <c r="Q7" s="126"/>
      <c r="R7" s="126"/>
      <c r="S7" s="127"/>
      <c r="U7" s="62" t="s">
        <v>149</v>
      </c>
    </row>
    <row r="8" spans="1:25" ht="13.2" customHeight="1" x14ac:dyDescent="0.45">
      <c r="B8" s="36" t="s">
        <v>43</v>
      </c>
      <c r="C8" s="36" t="s">
        <v>150</v>
      </c>
      <c r="D8" s="36" t="s">
        <v>151</v>
      </c>
      <c r="E8" s="36" t="s">
        <v>152</v>
      </c>
      <c r="F8" s="37" t="s">
        <v>153</v>
      </c>
      <c r="G8" s="38" t="s">
        <v>47</v>
      </c>
      <c r="H8" s="39" t="s">
        <v>154</v>
      </c>
      <c r="I8" s="36" t="s">
        <v>155</v>
      </c>
      <c r="J8" s="36" t="s">
        <v>50</v>
      </c>
      <c r="K8" s="20"/>
      <c r="L8" s="20"/>
      <c r="M8" s="20"/>
      <c r="N8" s="136" t="s">
        <v>152</v>
      </c>
      <c r="O8" s="136" t="s">
        <v>156</v>
      </c>
      <c r="P8" s="136" t="s">
        <v>157</v>
      </c>
      <c r="Q8" s="137" t="s">
        <v>153</v>
      </c>
      <c r="R8" s="136"/>
      <c r="S8" s="138" t="s">
        <v>158</v>
      </c>
      <c r="T8" s="139" t="s">
        <v>159</v>
      </c>
      <c r="U8" s="140" t="s">
        <v>152</v>
      </c>
      <c r="V8" s="140" t="s">
        <v>156</v>
      </c>
      <c r="W8" s="140" t="s">
        <v>157</v>
      </c>
      <c r="X8" s="141" t="s">
        <v>153</v>
      </c>
      <c r="Y8" s="142" t="s">
        <v>158</v>
      </c>
    </row>
    <row r="9" spans="1:25" ht="13.2" customHeight="1" x14ac:dyDescent="0.45">
      <c r="G9" s="24"/>
      <c r="J9" s="25"/>
    </row>
    <row r="10" spans="1:25" ht="13.2" customHeight="1" x14ac:dyDescent="0.45">
      <c r="B10" s="25" t="s">
        <v>51</v>
      </c>
      <c r="C10" s="25">
        <v>2</v>
      </c>
      <c r="D10" s="42" t="s">
        <v>52</v>
      </c>
      <c r="E10" s="25" t="s">
        <v>53</v>
      </c>
      <c r="F10" s="22" t="s">
        <v>54</v>
      </c>
      <c r="G10" s="24">
        <v>300</v>
      </c>
      <c r="H10" s="25">
        <v>6</v>
      </c>
      <c r="I10" s="25" t="s">
        <v>55</v>
      </c>
      <c r="J10" s="67">
        <f ca="1">S10</f>
        <v>52.407967114636115</v>
      </c>
      <c r="K10" s="20"/>
      <c r="L10" s="31"/>
      <c r="M10" s="20"/>
      <c r="N10" s="125" t="str">
        <f>E10</f>
        <v>03860C</v>
      </c>
      <c r="O10" s="125" t="s">
        <v>160</v>
      </c>
      <c r="P10" s="125" t="str">
        <f>D10</f>
        <v>01</v>
      </c>
      <c r="Q10" s="177" t="str">
        <f>F10</f>
        <v>Electrician</v>
      </c>
      <c r="R10" s="125"/>
      <c r="S10" s="128" cm="1">
        <f t="array" aca="1" ref="S10" ca="1">IF(O10="Y",((VLOOKUP(N10,INDIRECT($O$3),6,0)-VLOOKUP(N10,INDIRECT($O$3),7,0))*INDIRECT($N$2)+T10),VLOOKUP(N10,INDIRECT($O$3),6,0))</f>
        <v>52.407967114636115</v>
      </c>
      <c r="T10" s="135">
        <v>7.0000000000000007E-2</v>
      </c>
      <c r="U10" s="62" t="str">
        <f>N10</f>
        <v>03860C</v>
      </c>
      <c r="V10" s="62" t="str">
        <f>O10</f>
        <v>Y</v>
      </c>
      <c r="W10" s="62" t="str">
        <f>P10</f>
        <v>01</v>
      </c>
      <c r="X10" s="62" t="str">
        <f>Q10</f>
        <v>Electrician</v>
      </c>
      <c r="Y10" s="118">
        <f ca="1">ROUND(S10,3)</f>
        <v>52.408000000000001</v>
      </c>
    </row>
    <row r="11" spans="1:25" ht="13.2" customHeight="1" x14ac:dyDescent="0.45">
      <c r="B11" s="25" t="s">
        <v>51</v>
      </c>
      <c r="C11" s="25">
        <v>2</v>
      </c>
      <c r="D11" s="42" t="s">
        <v>56</v>
      </c>
      <c r="E11" s="25" t="s">
        <v>57</v>
      </c>
      <c r="F11" s="22" t="s">
        <v>58</v>
      </c>
      <c r="G11" s="24">
        <v>363</v>
      </c>
      <c r="H11" s="25">
        <v>8</v>
      </c>
      <c r="I11" s="25" t="s">
        <v>55</v>
      </c>
      <c r="J11" s="67">
        <f t="shared" ref="J11:J12" ca="1" si="0">S11</f>
        <v>55.58965663299562</v>
      </c>
      <c r="K11" s="20"/>
      <c r="L11" s="31"/>
      <c r="M11" s="20"/>
      <c r="N11" s="125" t="str">
        <f t="shared" ref="N11:N13" si="1">E11</f>
        <v>04600C</v>
      </c>
      <c r="O11" s="125" t="s">
        <v>160</v>
      </c>
      <c r="P11" s="125" t="str">
        <f t="shared" ref="P11:P14" si="2">D11</f>
        <v>02</v>
      </c>
      <c r="Q11" s="177" t="str">
        <f t="shared" ref="Q11:Q14" si="3">F11</f>
        <v>Foreman, Electrician</v>
      </c>
      <c r="R11" s="125"/>
      <c r="S11" s="128" cm="1">
        <f t="array" aca="1" ref="S11" ca="1">IF(O11="Y",((VLOOKUP(N11,INDIRECT($O$3),6,0)-VLOOKUP(N11,INDIRECT($O$3),7,0))*INDIRECT($N$2)+T11),VLOOKUP(N11,INDIRECT($O$3),6,0))</f>
        <v>55.58965663299562</v>
      </c>
      <c r="T11" s="135">
        <v>7.0000000000000007E-2</v>
      </c>
      <c r="U11" s="62" t="str">
        <f t="shared" ref="U11:U14" si="4">N11</f>
        <v>04600C</v>
      </c>
      <c r="V11" s="62" t="str">
        <f t="shared" ref="V11:V14" si="5">O11</f>
        <v>Y</v>
      </c>
      <c r="W11" s="62" t="str">
        <f t="shared" ref="W11:W14" si="6">P11</f>
        <v>02</v>
      </c>
      <c r="X11" s="62" t="str">
        <f t="shared" ref="X11:X14" si="7">Q11</f>
        <v>Foreman, Electrician</v>
      </c>
      <c r="Y11" s="118">
        <f t="shared" ref="Y11:Y14" ca="1" si="8">ROUND(S11,3)</f>
        <v>55.59</v>
      </c>
    </row>
    <row r="12" spans="1:25" ht="13.2" customHeight="1" x14ac:dyDescent="0.45">
      <c r="B12" s="25" t="s">
        <v>51</v>
      </c>
      <c r="C12" s="25">
        <v>2</v>
      </c>
      <c r="D12" s="42" t="s">
        <v>59</v>
      </c>
      <c r="E12" s="25" t="s">
        <v>60</v>
      </c>
      <c r="F12" s="22" t="s">
        <v>61</v>
      </c>
      <c r="G12" s="24">
        <v>363</v>
      </c>
      <c r="H12" s="25">
        <v>8</v>
      </c>
      <c r="I12" s="25" t="s">
        <v>55</v>
      </c>
      <c r="J12" s="67">
        <f t="shared" ca="1" si="0"/>
        <v>57.180597958869122</v>
      </c>
      <c r="K12" s="20"/>
      <c r="L12" s="31"/>
      <c r="M12" s="20"/>
      <c r="N12" s="125" t="str">
        <f t="shared" si="1"/>
        <v>04605C</v>
      </c>
      <c r="O12" s="125" t="s">
        <v>160</v>
      </c>
      <c r="P12" s="125" t="str">
        <f t="shared" si="2"/>
        <v>03</v>
      </c>
      <c r="Q12" s="177" t="str">
        <f t="shared" si="3"/>
        <v xml:space="preserve">Foreman, (Master) Electrician </v>
      </c>
      <c r="R12" s="125"/>
      <c r="S12" s="128" cm="1">
        <f t="array" aca="1" ref="S12" ca="1">IF(O12="Y",((VLOOKUP(N12,INDIRECT($O$3),6,0)-VLOOKUP(N12,INDIRECT($O$3),7,0))*INDIRECT($N$2)+T12),VLOOKUP(N12,INDIRECT($O$3),6,0))</f>
        <v>57.180597958869122</v>
      </c>
      <c r="T12" s="135">
        <v>7.0000000000000007E-2</v>
      </c>
      <c r="U12" s="62" t="str">
        <f t="shared" si="4"/>
        <v>04605C</v>
      </c>
      <c r="V12" s="62" t="str">
        <f t="shared" si="5"/>
        <v>Y</v>
      </c>
      <c r="W12" s="62" t="str">
        <f t="shared" si="6"/>
        <v>03</v>
      </c>
      <c r="X12" s="62" t="str">
        <f t="shared" si="7"/>
        <v xml:space="preserve">Foreman, (Master) Electrician </v>
      </c>
      <c r="Y12" s="118">
        <f t="shared" ca="1" si="8"/>
        <v>57.180999999999997</v>
      </c>
    </row>
    <row r="13" spans="1:25" ht="13.2" customHeight="1" x14ac:dyDescent="0.45">
      <c r="B13" s="25" t="s">
        <v>51</v>
      </c>
      <c r="C13" s="25">
        <v>2</v>
      </c>
      <c r="D13" s="42" t="s">
        <v>62</v>
      </c>
      <c r="E13" s="25" t="s">
        <v>63</v>
      </c>
      <c r="F13" s="22" t="s">
        <v>64</v>
      </c>
      <c r="G13" s="24">
        <v>475</v>
      </c>
      <c r="H13" s="25">
        <v>10</v>
      </c>
      <c r="I13" s="25" t="s">
        <v>55</v>
      </c>
      <c r="J13" s="67">
        <f ca="1">S13</f>
        <v>58.771539284742644</v>
      </c>
      <c r="K13" s="20"/>
      <c r="L13" s="31"/>
      <c r="M13" s="20"/>
      <c r="N13" s="125" t="str">
        <f t="shared" si="1"/>
        <v>05140C</v>
      </c>
      <c r="O13" s="125" t="s">
        <v>160</v>
      </c>
      <c r="P13" s="125" t="str">
        <f t="shared" si="2"/>
        <v>CSU N42</v>
      </c>
      <c r="Q13" s="177" t="str">
        <f t="shared" si="3"/>
        <v>*General Foreman, Electrician</v>
      </c>
      <c r="R13" s="125"/>
      <c r="S13" s="128" cm="1">
        <f t="array" aca="1" ref="S13" ca="1">IF(O13="Y",((VLOOKUP(N13,INDIRECT($O$3),6,0)-VLOOKUP(N13,INDIRECT($O$3),7,0))*INDIRECT($N$2)+T13),VLOOKUP(N13,INDIRECT($O$3),6,0))</f>
        <v>58.771539284742644</v>
      </c>
      <c r="T13" s="135">
        <v>7.0000000000000007E-2</v>
      </c>
      <c r="U13" s="62" t="str">
        <f t="shared" si="4"/>
        <v>05140C</v>
      </c>
      <c r="V13" s="62" t="str">
        <f t="shared" si="5"/>
        <v>Y</v>
      </c>
      <c r="W13" s="62" t="str">
        <f t="shared" si="6"/>
        <v>CSU N42</v>
      </c>
      <c r="X13" s="62" t="str">
        <f t="shared" si="7"/>
        <v>*General Foreman, Electrician</v>
      </c>
      <c r="Y13" s="118">
        <f t="shared" ca="1" si="8"/>
        <v>58.771999999999998</v>
      </c>
    </row>
    <row r="14" spans="1:25" ht="13.2" customHeight="1" x14ac:dyDescent="0.45">
      <c r="B14" s="25" t="s">
        <v>51</v>
      </c>
      <c r="C14" s="25">
        <v>2</v>
      </c>
      <c r="D14" s="42" t="s">
        <v>62</v>
      </c>
      <c r="E14" s="25" t="s">
        <v>99</v>
      </c>
      <c r="F14" s="22" t="s">
        <v>100</v>
      </c>
      <c r="G14" s="24"/>
      <c r="H14" s="25">
        <v>10</v>
      </c>
      <c r="I14" s="25" t="s">
        <v>55</v>
      </c>
      <c r="J14" s="67">
        <f ca="1">S14</f>
        <v>58.771539284742644</v>
      </c>
      <c r="K14" s="20"/>
      <c r="L14" s="31"/>
      <c r="M14" s="20"/>
      <c r="N14" s="121" t="s">
        <v>99</v>
      </c>
      <c r="O14" s="121" t="s">
        <v>160</v>
      </c>
      <c r="P14" s="125" t="str">
        <f t="shared" si="2"/>
        <v>CSU N42</v>
      </c>
      <c r="Q14" s="177" t="str">
        <f t="shared" si="3"/>
        <v>*Supervisor Water Plant Electrical and Control Systems</v>
      </c>
      <c r="S14" s="128" cm="1">
        <f t="array" aca="1" ref="S14" ca="1">IF(O14="Y",((VLOOKUP(N14,INDIRECT($O$3),6,0)-VLOOKUP(N14,INDIRECT($O$3),7,0))*INDIRECT($N$2)+T14),VLOOKUP(N14,INDIRECT($O$3),6,0))</f>
        <v>58.771539284742644</v>
      </c>
      <c r="T14" s="135">
        <v>7.0000000000000007E-2</v>
      </c>
      <c r="U14" s="62" t="str">
        <f t="shared" si="4"/>
        <v>10375C</v>
      </c>
      <c r="V14" s="62" t="str">
        <f t="shared" si="5"/>
        <v>Y</v>
      </c>
      <c r="W14" s="62" t="str">
        <f t="shared" si="6"/>
        <v>CSU N42</v>
      </c>
      <c r="X14" s="62" t="str">
        <f t="shared" si="7"/>
        <v>*Supervisor Water Plant Electrical and Control Systems</v>
      </c>
      <c r="Y14" s="118">
        <f t="shared" ca="1" si="8"/>
        <v>58.771999999999998</v>
      </c>
    </row>
    <row r="15" spans="1:25" ht="13.2" customHeight="1" x14ac:dyDescent="0.45">
      <c r="B15" s="25"/>
      <c r="C15" s="25"/>
      <c r="D15" s="42"/>
      <c r="E15" s="25"/>
      <c r="F15" s="22"/>
      <c r="G15" s="24"/>
      <c r="J15" s="67"/>
      <c r="K15" s="20"/>
      <c r="L15" s="31"/>
      <c r="M15" s="20"/>
      <c r="N15" s="125"/>
      <c r="O15" s="125"/>
      <c r="P15" s="125"/>
      <c r="Q15" s="125"/>
      <c r="R15" s="125"/>
    </row>
    <row r="16" spans="1:25" ht="13.2" customHeight="1" x14ac:dyDescent="0.45">
      <c r="B16" s="18"/>
      <c r="C16" s="18"/>
      <c r="D16" s="32"/>
      <c r="E16" s="18"/>
      <c r="F16" s="22" t="s">
        <v>101</v>
      </c>
      <c r="G16" s="23"/>
      <c r="H16" s="18"/>
      <c r="I16" s="18"/>
      <c r="J16" s="30"/>
      <c r="K16" s="20"/>
      <c r="L16" s="31"/>
      <c r="M16" s="20"/>
      <c r="N16" s="125"/>
      <c r="O16" s="125"/>
      <c r="P16" s="125"/>
      <c r="Q16" s="125"/>
      <c r="R16" s="125"/>
    </row>
    <row r="17" spans="3:25" ht="13.2" customHeight="1" x14ac:dyDescent="0.45">
      <c r="C17" s="1" t="s">
        <v>66</v>
      </c>
      <c r="D17" s="2"/>
      <c r="H17" s="2"/>
      <c r="I17" s="2"/>
      <c r="J17" s="2"/>
      <c r="K17" s="3"/>
      <c r="L17" s="3"/>
      <c r="M17" s="3"/>
      <c r="N17" s="129"/>
      <c r="O17" s="129"/>
      <c r="P17" s="129"/>
      <c r="Q17" s="129"/>
      <c r="R17" s="129"/>
      <c r="S17" s="130"/>
    </row>
    <row r="18" spans="3:25" ht="13.2" customHeight="1" x14ac:dyDescent="0.45">
      <c r="C18" s="8" t="s">
        <v>67</v>
      </c>
      <c r="G18" s="5"/>
      <c r="H18" s="6"/>
      <c r="I18" s="6"/>
      <c r="J18" s="7"/>
      <c r="K18" s="7"/>
      <c r="L18" s="3"/>
      <c r="M18" s="3"/>
      <c r="N18" s="129"/>
      <c r="O18" s="129"/>
      <c r="P18" s="129"/>
      <c r="Q18" s="129"/>
      <c r="R18" s="129"/>
      <c r="S18" s="130"/>
    </row>
    <row r="19" spans="3:25" ht="13.2" customHeight="1" x14ac:dyDescent="0.45">
      <c r="C19" s="144">
        <f ca="1">S19</f>
        <v>0.30155311959340131</v>
      </c>
      <c r="D19" s="5" t="s">
        <v>68</v>
      </c>
      <c r="I19" s="10"/>
      <c r="J19" s="11"/>
      <c r="K19" s="11"/>
      <c r="L19" s="12"/>
      <c r="M19" s="12"/>
      <c r="N19" s="129" t="s">
        <v>69</v>
      </c>
      <c r="O19" s="129" t="s">
        <v>160</v>
      </c>
      <c r="P19" s="129"/>
      <c r="Q19" s="124" t="s">
        <v>102</v>
      </c>
      <c r="R19" s="129"/>
      <c r="S19" s="128" cm="1">
        <f t="array" aca="1" ref="S19" ca="1">IF(O19="Y",VLOOKUP(N19,INDIRECT($O$3),6,0)*INDIRECT($N$2),VLOOKUP(N19,INDIRECT($O$3),6,0))</f>
        <v>0.30155311959340131</v>
      </c>
      <c r="U19" s="62" t="str">
        <f t="shared" ref="U19:U22" si="9">N19</f>
        <v>LNG10</v>
      </c>
      <c r="V19" s="62" t="str">
        <f t="shared" ref="V19:V22" si="10">O19</f>
        <v>Y</v>
      </c>
      <c r="W19" s="62">
        <f t="shared" ref="W19:W22" si="11">P19</f>
        <v>0</v>
      </c>
      <c r="X19" s="62" t="str">
        <f t="shared" ref="X19:X22" si="12">Q19</f>
        <v>Longevity - 10 years</v>
      </c>
      <c r="Y19" s="118">
        <f t="shared" ref="Y19:Y22" ca="1" si="13">ROUND(S19,3)</f>
        <v>0.30199999999999999</v>
      </c>
    </row>
    <row r="20" spans="3:25" ht="13.2" customHeight="1" x14ac:dyDescent="0.45">
      <c r="C20" s="144">
        <f ca="1">S20</f>
        <v>0.41664973012523399</v>
      </c>
      <c r="D20" s="5" t="s">
        <v>70</v>
      </c>
      <c r="I20" s="10"/>
      <c r="J20" s="11"/>
      <c r="K20" s="11"/>
      <c r="L20" s="12"/>
      <c r="M20" s="12"/>
      <c r="N20" s="129" t="s">
        <v>71</v>
      </c>
      <c r="O20" s="129" t="s">
        <v>160</v>
      </c>
      <c r="P20" s="129"/>
      <c r="Q20" s="124" t="s">
        <v>103</v>
      </c>
      <c r="R20" s="129"/>
      <c r="S20" s="128" cm="1">
        <f t="array" aca="1" ref="S20" ca="1">IF(O20="Y",VLOOKUP(N20,INDIRECT($O$3),6,0)*INDIRECT($N$2),VLOOKUP(N20,INDIRECT($O$3),6,0))</f>
        <v>0.41664973012523399</v>
      </c>
      <c r="U20" s="62" t="str">
        <f t="shared" si="9"/>
        <v>LNG15</v>
      </c>
      <c r="V20" s="62" t="str">
        <f t="shared" si="10"/>
        <v>Y</v>
      </c>
      <c r="W20" s="62">
        <f t="shared" si="11"/>
        <v>0</v>
      </c>
      <c r="X20" s="62" t="str">
        <f t="shared" si="12"/>
        <v>Longevity - 15 years</v>
      </c>
      <c r="Y20" s="118">
        <f t="shared" ca="1" si="13"/>
        <v>0.41699999999999998</v>
      </c>
    </row>
    <row r="21" spans="3:25" ht="13.2" customHeight="1" x14ac:dyDescent="0.45">
      <c r="C21" s="144">
        <f ca="1">S21</f>
        <v>0.66410744276867384</v>
      </c>
      <c r="D21" s="5" t="s">
        <v>72</v>
      </c>
      <c r="I21" s="10"/>
      <c r="J21" s="11"/>
      <c r="K21" s="11"/>
      <c r="L21" s="12"/>
      <c r="M21" s="12"/>
      <c r="N21" s="129" t="s">
        <v>73</v>
      </c>
      <c r="O21" s="129" t="s">
        <v>160</v>
      </c>
      <c r="P21" s="129"/>
      <c r="Q21" s="124" t="s">
        <v>104</v>
      </c>
      <c r="R21" s="129"/>
      <c r="S21" s="128" cm="1">
        <f t="array" aca="1" ref="S21" ca="1">IF(O21="Y",VLOOKUP(N21,INDIRECT($O$3),6,0)*INDIRECT($N$2),VLOOKUP(N21,INDIRECT($O$3),6,0))</f>
        <v>0.66410744276867384</v>
      </c>
      <c r="U21" s="62" t="str">
        <f t="shared" si="9"/>
        <v>LNG20</v>
      </c>
      <c r="V21" s="62" t="str">
        <f t="shared" si="10"/>
        <v>Y</v>
      </c>
      <c r="W21" s="62">
        <f t="shared" si="11"/>
        <v>0</v>
      </c>
      <c r="X21" s="62" t="str">
        <f t="shared" si="12"/>
        <v>Longevity - 20 years</v>
      </c>
      <c r="Y21" s="118">
        <f t="shared" ca="1" si="13"/>
        <v>0.66400000000000003</v>
      </c>
    </row>
    <row r="22" spans="3:25" ht="13.2" customHeight="1" x14ac:dyDescent="0.45">
      <c r="C22" s="144">
        <f ca="1">S22</f>
        <v>0.99558568110035184</v>
      </c>
      <c r="D22" s="5" t="s">
        <v>74</v>
      </c>
      <c r="I22" s="10"/>
      <c r="J22" s="11"/>
      <c r="K22" s="11"/>
      <c r="L22" s="12"/>
      <c r="M22" s="12"/>
      <c r="N22" s="129" t="s">
        <v>75</v>
      </c>
      <c r="O22" s="129" t="s">
        <v>160</v>
      </c>
      <c r="P22" s="129"/>
      <c r="Q22" s="124" t="s">
        <v>105</v>
      </c>
      <c r="R22" s="129"/>
      <c r="S22" s="128" cm="1">
        <f t="array" aca="1" ref="S22" ca="1">IF(O22="Y",VLOOKUP(N22,INDIRECT($O$3),6,0)*INDIRECT($N$2),VLOOKUP(N22,INDIRECT($O$3),6,0))</f>
        <v>0.99558568110035184</v>
      </c>
      <c r="U22" s="62" t="str">
        <f t="shared" si="9"/>
        <v>LNG25</v>
      </c>
      <c r="V22" s="62" t="str">
        <f t="shared" si="10"/>
        <v>Y</v>
      </c>
      <c r="W22" s="62">
        <f t="shared" si="11"/>
        <v>0</v>
      </c>
      <c r="X22" s="62" t="str">
        <f t="shared" si="12"/>
        <v>Longevity - 25 years</v>
      </c>
      <c r="Y22" s="118">
        <f t="shared" ca="1" si="13"/>
        <v>0.996</v>
      </c>
    </row>
    <row r="23" spans="3:25" ht="13.2" customHeight="1" x14ac:dyDescent="0.45"/>
    <row r="24" spans="3:25" ht="13.2" customHeight="1" x14ac:dyDescent="0.45">
      <c r="C24" s="1" t="s">
        <v>76</v>
      </c>
    </row>
    <row r="25" spans="3:25" ht="13.2" customHeight="1" x14ac:dyDescent="0.45">
      <c r="C25" s="46" t="str">
        <f ca="1">"Provided that a night shift differential of "&amp;TEXT(S25,"$#.000")&amp;" per hour for each hour, or fraction thereof, they"</f>
        <v>Provided that a night shift differential of $2.444 per hour for each hour, or fraction thereof, they</v>
      </c>
      <c r="G25" s="33"/>
      <c r="H25" s="19"/>
      <c r="N25" s="121" t="s">
        <v>79</v>
      </c>
      <c r="O25" s="129" t="s">
        <v>160</v>
      </c>
      <c r="P25" s="129"/>
      <c r="Q25" s="124" t="s">
        <v>106</v>
      </c>
      <c r="S25" s="128" cm="1">
        <f t="array" aca="1" ref="S25" ca="1">IF(O25="Y",VLOOKUP(N25,INDIRECT($O$3),6,0)*INDIRECT($N$2),VLOOKUP(N25,INDIRECT($O$3),6,0))</f>
        <v>2.4436859175716301</v>
      </c>
      <c r="T25" s="135">
        <f ca="1">S25*1.04</f>
        <v>2.5414333542744956</v>
      </c>
      <c r="U25" s="62" t="str">
        <f t="shared" ref="U25:U26" si="14">N25</f>
        <v>CELEVE</v>
      </c>
      <c r="V25" s="62" t="str">
        <f t="shared" ref="V25:V26" si="15">O25</f>
        <v>Y</v>
      </c>
      <c r="W25" s="62">
        <f t="shared" ref="W25:W26" si="16">P25</f>
        <v>0</v>
      </c>
      <c r="X25" s="62" t="str">
        <f t="shared" ref="X25:X26" si="17">Q25</f>
        <v>TL-Evening Shift Premium-CEL</v>
      </c>
      <c r="Y25" s="118">
        <f t="shared" ref="Y25:Y26" ca="1" si="18">ROUND(S25,3)</f>
        <v>2.444</v>
      </c>
    </row>
    <row r="26" spans="3:25" ht="13.2" customHeight="1" x14ac:dyDescent="0.45">
      <c r="C26" s="46" t="s">
        <v>80</v>
      </c>
      <c r="N26" s="121" t="s">
        <v>81</v>
      </c>
      <c r="O26" s="129" t="s">
        <v>160</v>
      </c>
      <c r="P26" s="129"/>
      <c r="Q26" s="124" t="s">
        <v>107</v>
      </c>
      <c r="S26" s="128" cm="1">
        <f t="array" aca="1" ref="S26" ca="1">IF(O26="Y",VLOOKUP(N26,INDIRECT($O$3),6,0)*INDIRECT($N$2),VLOOKUP(N26,INDIRECT($O$3),6,0))</f>
        <v>2.4436859175716301</v>
      </c>
      <c r="U26" s="62" t="str">
        <f t="shared" si="14"/>
        <v>CELSGT</v>
      </c>
      <c r="V26" s="62" t="str">
        <f t="shared" si="15"/>
        <v>Y</v>
      </c>
      <c r="W26" s="62">
        <f t="shared" si="16"/>
        <v>0</v>
      </c>
      <c r="X26" s="62" t="str">
        <f t="shared" si="17"/>
        <v>TL-Signal Truck Premium-CEL</v>
      </c>
      <c r="Y26" s="118">
        <f t="shared" ca="1" si="18"/>
        <v>2.444</v>
      </c>
    </row>
    <row r="27" spans="3:25" ht="13.2" customHeight="1" x14ac:dyDescent="0.45">
      <c r="C27" s="46" t="s">
        <v>82</v>
      </c>
    </row>
    <row r="28" spans="3:25" ht="13.2" customHeight="1" x14ac:dyDescent="0.45">
      <c r="C28" s="46"/>
    </row>
    <row r="29" spans="3:25" ht="13.2" customHeight="1" x14ac:dyDescent="0.45">
      <c r="C29" s="46" t="str">
        <f ca="1">"Provided that a weekend shift differential of "&amp;TEXT(S29,"$#.000")&amp;" per hour shall be paid to employees who work"</f>
        <v>Provided that a weekend shift differential of $1.657 per hour shall be paid to employees who work</v>
      </c>
      <c r="G29" s="35"/>
      <c r="H29" s="19"/>
      <c r="N29" s="121" t="s">
        <v>85</v>
      </c>
      <c r="O29" s="129" t="s">
        <v>160</v>
      </c>
      <c r="P29" s="129"/>
      <c r="Q29" s="124" t="s">
        <v>108</v>
      </c>
      <c r="S29" s="128" cm="1">
        <f t="array" aca="1" ref="S29" ca="1">IF(O29="Y",VLOOKUP(N29,INDIRECT($O$3),6,0)*INDIRECT($N$2),VLOOKUP(N29,INDIRECT($O$3),6,0))</f>
        <v>1.6569525656691904</v>
      </c>
      <c r="T29" s="135">
        <f ca="1">S29*1.04</f>
        <v>1.7232306682959579</v>
      </c>
      <c r="U29" s="62" t="str">
        <f t="shared" ref="U29" si="19">N29</f>
        <v>CELWKE</v>
      </c>
      <c r="V29" s="62" t="str">
        <f t="shared" ref="V29" si="20">O29</f>
        <v>Y</v>
      </c>
      <c r="W29" s="62">
        <f t="shared" ref="W29" si="21">P29</f>
        <v>0</v>
      </c>
      <c r="X29" s="62" t="str">
        <f t="shared" ref="X29" si="22">Q29</f>
        <v>TL-Wkend Shift dif CEL</v>
      </c>
      <c r="Y29" s="118">
        <f t="shared" ref="Y29" ca="1" si="23">ROUND(S29,3)</f>
        <v>1.657</v>
      </c>
    </row>
    <row r="30" spans="3:25" ht="13.2" customHeight="1" x14ac:dyDescent="0.45">
      <c r="C30" s="46" t="s">
        <v>86</v>
      </c>
    </row>
    <row r="31" spans="3:25" ht="13.2" customHeight="1" x14ac:dyDescent="0.45">
      <c r="F31" s="19"/>
    </row>
    <row r="32" spans="3:25" ht="13.2" customHeight="1" x14ac:dyDescent="0.45">
      <c r="C32" s="68" t="str">
        <f ca="1">"Provided that a premium of "&amp;TEXT(S32,"$#.000")&amp;" per hour shall be paid to employees for hours worked while performing welding work."</f>
        <v>Provided that a premium of $1.134 per hour shall be paid to employees for hours worked while performing welding work.</v>
      </c>
      <c r="D32" s="3"/>
      <c r="N32" s="129" t="s">
        <v>136</v>
      </c>
      <c r="O32" s="129" t="s">
        <v>160</v>
      </c>
      <c r="P32" s="129"/>
      <c r="Q32" s="124" t="s">
        <v>137</v>
      </c>
      <c r="R32" s="129"/>
      <c r="S32" s="128" cm="1">
        <f t="array" aca="1" ref="S32" ca="1">IF(O32="Y",VLOOKUP(N32,INDIRECT($O$3),6,0)*INDIRECT($N$2),VLOOKUP(N32,INDIRECT($O$3),6,0))</f>
        <v>1.1339567540082027</v>
      </c>
      <c r="T32" s="135">
        <f ca="1">S32*1.04</f>
        <v>1.1793150241685308</v>
      </c>
      <c r="U32" s="62" t="str">
        <f t="shared" ref="U32" si="24">N32</f>
        <v>CELWLD</v>
      </c>
      <c r="V32" s="62" t="str">
        <f t="shared" ref="V32" si="25">O32</f>
        <v>Y</v>
      </c>
      <c r="W32" s="62">
        <f t="shared" ref="W32" si="26">P32</f>
        <v>0</v>
      </c>
      <c r="X32" s="62" t="str">
        <f t="shared" ref="X32" si="27">Q32</f>
        <v>Welding premium - add to COMET</v>
      </c>
      <c r="Y32" s="118">
        <f t="shared" ref="Y32" ca="1" si="28">ROUND(S32,3)</f>
        <v>1.1339999999999999</v>
      </c>
    </row>
    <row r="33" spans="1:25" ht="13.2" customHeight="1" x14ac:dyDescent="0.45">
      <c r="C33" s="68"/>
      <c r="D33" s="3"/>
      <c r="N33" s="129"/>
      <c r="O33" s="129"/>
      <c r="P33" s="129"/>
      <c r="Q33" s="129"/>
      <c r="R33" s="129"/>
      <c r="S33" s="130"/>
    </row>
    <row r="34" spans="1:25" s="12" customFormat="1" x14ac:dyDescent="0.45">
      <c r="C34" s="12" t="s">
        <v>109</v>
      </c>
      <c r="N34" s="129" t="s">
        <v>87</v>
      </c>
      <c r="O34" s="129" t="s">
        <v>51</v>
      </c>
      <c r="P34" s="129"/>
      <c r="Q34" s="124" t="s">
        <v>110</v>
      </c>
      <c r="R34" s="129"/>
      <c r="S34" s="128" cm="1">
        <f t="array" aca="1" ref="S34" ca="1">IF(O34="Y",VLOOKUP(N34,INDIRECT($O$3),6,0)*INDIRECT($N$2),VLOOKUP(N34,INDIRECT($O$3),6,0))</f>
        <v>35</v>
      </c>
      <c r="T34" s="135">
        <f ca="1">S34*1.04</f>
        <v>36.4</v>
      </c>
      <c r="U34" s="62" t="str">
        <f t="shared" ref="U34:U35" si="29">N34</f>
        <v>CELCDY</v>
      </c>
      <c r="V34" s="62" t="str">
        <f t="shared" ref="V34:V35" si="30">O34</f>
        <v>N</v>
      </c>
      <c r="W34" s="62">
        <f t="shared" ref="W34:W35" si="31">P34</f>
        <v>0</v>
      </c>
      <c r="X34" s="62" t="str">
        <f t="shared" ref="X34:X35" si="32">Q34</f>
        <v>TL-On call by the day-CEL</v>
      </c>
      <c r="Y34" s="118">
        <f t="shared" ref="Y34:Y35" ca="1" si="33">S34</f>
        <v>35</v>
      </c>
    </row>
    <row r="35" spans="1:25" s="12" customFormat="1" x14ac:dyDescent="0.45">
      <c r="C35" s="68" t="s">
        <v>111</v>
      </c>
      <c r="N35" s="129" t="s">
        <v>88</v>
      </c>
      <c r="O35" s="129" t="s">
        <v>51</v>
      </c>
      <c r="P35" s="129"/>
      <c r="Q35" s="124" t="s">
        <v>112</v>
      </c>
      <c r="R35" s="129"/>
      <c r="S35" s="128" cm="1">
        <f t="array" aca="1" ref="S35" ca="1">IF(O35="Y",VLOOKUP(N35,INDIRECT($O$3),6,0)*INDIRECT($N$2),VLOOKUP(N35,INDIRECT($O$3),6,0))</f>
        <v>45</v>
      </c>
      <c r="T35" s="135">
        <f ca="1">S35*1.04</f>
        <v>46.800000000000004</v>
      </c>
      <c r="U35" s="62" t="str">
        <f t="shared" si="29"/>
        <v>CELCWE</v>
      </c>
      <c r="V35" s="62" t="str">
        <f t="shared" si="30"/>
        <v>N</v>
      </c>
      <c r="W35" s="62">
        <f t="shared" si="31"/>
        <v>0</v>
      </c>
      <c r="X35" s="62" t="str">
        <f t="shared" si="32"/>
        <v>TL-On call by day Weekend-CEL</v>
      </c>
      <c r="Y35" s="118">
        <f t="shared" ca="1" si="33"/>
        <v>45</v>
      </c>
    </row>
    <row r="36" spans="1:25" s="3" customFormat="1" x14ac:dyDescent="0.45">
      <c r="C36" s="68" t="s">
        <v>113</v>
      </c>
      <c r="N36" s="129"/>
      <c r="O36" s="129"/>
      <c r="P36" s="129"/>
      <c r="Q36" s="129"/>
      <c r="R36" s="129"/>
      <c r="S36" s="131"/>
      <c r="T36" s="134"/>
      <c r="U36" s="53"/>
      <c r="V36" s="53"/>
      <c r="W36" s="53"/>
      <c r="X36" s="53"/>
      <c r="Y36" s="53"/>
    </row>
    <row r="37" spans="1:25" s="3" customFormat="1" x14ac:dyDescent="0.45">
      <c r="C37" s="68" t="s">
        <v>114</v>
      </c>
      <c r="N37" s="129"/>
      <c r="O37" s="129"/>
      <c r="P37" s="129"/>
      <c r="Q37" s="129"/>
      <c r="R37" s="129"/>
      <c r="S37" s="131"/>
      <c r="T37" s="134"/>
      <c r="U37" s="53"/>
      <c r="V37" s="53"/>
      <c r="W37" s="53"/>
      <c r="X37" s="53"/>
      <c r="Y37" s="53"/>
    </row>
    <row r="38" spans="1:25" s="3" customFormat="1" x14ac:dyDescent="0.45">
      <c r="C38" s="68" t="s">
        <v>115</v>
      </c>
      <c r="N38" s="129"/>
      <c r="O38" s="129"/>
      <c r="P38" s="129"/>
      <c r="Q38" s="129"/>
      <c r="R38" s="129"/>
      <c r="S38" s="131"/>
      <c r="T38" s="134"/>
      <c r="U38" s="53"/>
      <c r="V38" s="53"/>
      <c r="W38" s="53"/>
      <c r="X38" s="53"/>
      <c r="Y38" s="53"/>
    </row>
    <row r="39" spans="1:25" s="3" customFormat="1" x14ac:dyDescent="0.45">
      <c r="N39" s="129"/>
      <c r="O39" s="129"/>
      <c r="P39" s="129"/>
      <c r="Q39" s="129"/>
      <c r="R39" s="129"/>
      <c r="S39" s="131"/>
      <c r="T39" s="134"/>
      <c r="U39" s="53"/>
      <c r="V39" s="53"/>
      <c r="W39" s="53"/>
      <c r="X39" s="53"/>
      <c r="Y39" s="53"/>
    </row>
    <row r="40" spans="1:25" s="3" customFormat="1" x14ac:dyDescent="0.45">
      <c r="N40" s="129"/>
      <c r="O40" s="129"/>
      <c r="P40" s="129"/>
      <c r="Q40" s="129"/>
      <c r="R40" s="129"/>
      <c r="S40" s="131"/>
      <c r="T40" s="134"/>
      <c r="U40" s="53"/>
      <c r="V40" s="53"/>
      <c r="W40" s="53"/>
      <c r="X40" s="53"/>
      <c r="Y40" s="53"/>
    </row>
    <row r="41" spans="1:25" s="3" customFormat="1" x14ac:dyDescent="0.45">
      <c r="N41" s="129"/>
      <c r="O41" s="129"/>
      <c r="P41" s="129"/>
      <c r="Q41" s="129"/>
      <c r="R41" s="129"/>
      <c r="S41" s="131"/>
      <c r="T41" s="134"/>
      <c r="U41" s="53"/>
      <c r="V41" s="53"/>
      <c r="W41" s="53"/>
      <c r="X41" s="53"/>
      <c r="Y41" s="53"/>
    </row>
    <row r="42" spans="1:25" s="3" customFormat="1" x14ac:dyDescent="0.45">
      <c r="A42" s="3" t="s">
        <v>161</v>
      </c>
      <c r="J42" s="3" t="s">
        <v>162</v>
      </c>
      <c r="N42" s="129"/>
      <c r="O42" s="129"/>
      <c r="P42" s="129"/>
      <c r="Q42" s="129"/>
      <c r="R42" s="129"/>
      <c r="S42" s="131"/>
      <c r="T42" s="134"/>
      <c r="U42" s="53"/>
      <c r="V42" s="53"/>
      <c r="W42" s="53"/>
      <c r="X42" s="53"/>
      <c r="Y42" s="53"/>
    </row>
    <row r="43" spans="1:25" s="3" customFormat="1" x14ac:dyDescent="0.45">
      <c r="N43" s="129"/>
      <c r="O43" s="129"/>
      <c r="P43" s="129"/>
      <c r="Q43" s="129"/>
      <c r="R43" s="129"/>
      <c r="S43" s="131"/>
      <c r="T43" s="134"/>
      <c r="U43" s="53"/>
      <c r="V43" s="53"/>
      <c r="W43" s="53"/>
      <c r="X43" s="53"/>
      <c r="Y43" s="53"/>
    </row>
    <row r="44" spans="1:25" s="3" customFormat="1" x14ac:dyDescent="0.45">
      <c r="N44" s="129"/>
      <c r="O44" s="129"/>
      <c r="P44" s="129"/>
      <c r="Q44" s="129"/>
      <c r="R44" s="129"/>
      <c r="S44" s="131"/>
      <c r="T44" s="134"/>
      <c r="U44" s="53"/>
      <c r="V44" s="53"/>
      <c r="W44" s="53"/>
      <c r="X44" s="53"/>
      <c r="Y44" s="53"/>
    </row>
    <row r="45" spans="1:25" s="3" customFormat="1" x14ac:dyDescent="0.45">
      <c r="N45" s="129"/>
      <c r="O45" s="129"/>
      <c r="P45" s="129"/>
      <c r="Q45" s="129"/>
      <c r="R45" s="129"/>
      <c r="S45" s="131"/>
      <c r="T45" s="134"/>
      <c r="U45" s="53"/>
      <c r="V45" s="53"/>
      <c r="W45" s="53"/>
      <c r="X45" s="53"/>
      <c r="Y45" s="53"/>
    </row>
    <row r="46" spans="1:25" s="3" customFormat="1" x14ac:dyDescent="0.45">
      <c r="N46" s="129"/>
      <c r="O46" s="129"/>
      <c r="P46" s="129"/>
      <c r="Q46" s="129"/>
      <c r="R46" s="129"/>
      <c r="S46" s="131"/>
      <c r="T46" s="134"/>
      <c r="U46" s="53"/>
      <c r="V46" s="53"/>
      <c r="W46" s="53"/>
      <c r="X46" s="53"/>
      <c r="Y46" s="53"/>
    </row>
    <row r="47" spans="1:25" s="3" customFormat="1" x14ac:dyDescent="0.45">
      <c r="B47" s="29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32"/>
      <c r="O47" s="132"/>
      <c r="P47" s="132"/>
      <c r="Q47" s="132"/>
      <c r="R47" s="132"/>
      <c r="S47" s="131"/>
      <c r="T47" s="134"/>
      <c r="U47" s="53"/>
      <c r="V47" s="53"/>
      <c r="W47" s="53"/>
      <c r="X47" s="53"/>
      <c r="Y47" s="53"/>
    </row>
    <row r="48" spans="1:25" s="3" customFormat="1" x14ac:dyDescent="0.4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2"/>
      <c r="O48" s="132"/>
      <c r="P48" s="132"/>
      <c r="Q48" s="132"/>
      <c r="R48" s="132"/>
      <c r="S48" s="131"/>
      <c r="T48" s="134"/>
      <c r="U48" s="53"/>
      <c r="V48" s="53"/>
      <c r="W48" s="53"/>
      <c r="X48" s="53"/>
      <c r="Y48" s="53"/>
    </row>
    <row r="49" spans="2:25" s="17" customFormat="1" x14ac:dyDescent="0.45">
      <c r="B49" s="14"/>
      <c r="C49" s="14"/>
      <c r="D49" s="14"/>
      <c r="E49" s="14"/>
      <c r="F49" s="14"/>
      <c r="G49" s="14"/>
      <c r="H49" s="14"/>
      <c r="I49" s="14"/>
      <c r="J49" s="16"/>
      <c r="K49" s="14"/>
      <c r="L49" s="14"/>
      <c r="M49" s="14"/>
      <c r="N49" s="132"/>
      <c r="O49" s="132"/>
      <c r="P49" s="132"/>
      <c r="Q49" s="132"/>
      <c r="R49" s="132"/>
      <c r="S49" s="131"/>
      <c r="T49" s="129"/>
      <c r="U49" s="49"/>
      <c r="V49" s="49"/>
      <c r="W49" s="49"/>
      <c r="X49" s="49"/>
      <c r="Y49" s="49"/>
    </row>
    <row r="50" spans="2:25" s="3" customFormat="1" x14ac:dyDescent="0.45">
      <c r="B50" s="17"/>
      <c r="C50" s="17"/>
      <c r="D50" s="17"/>
      <c r="G50" s="17"/>
      <c r="H50" s="17"/>
      <c r="J50" s="16"/>
      <c r="K50" s="16"/>
      <c r="L50" s="16"/>
      <c r="N50" s="129"/>
      <c r="O50" s="129"/>
      <c r="P50" s="129"/>
      <c r="Q50" s="129"/>
      <c r="R50" s="129"/>
      <c r="S50" s="131"/>
      <c r="T50" s="134"/>
      <c r="U50" s="53"/>
      <c r="V50" s="53"/>
      <c r="W50" s="53"/>
      <c r="X50" s="53"/>
      <c r="Y50" s="53"/>
    </row>
    <row r="51" spans="2:25" s="3" customFormat="1" x14ac:dyDescent="0.45">
      <c r="N51" s="129"/>
      <c r="O51" s="129"/>
      <c r="P51" s="129"/>
      <c r="Q51" s="129"/>
      <c r="R51" s="129"/>
      <c r="S51" s="131"/>
      <c r="T51" s="134"/>
      <c r="U51" s="53"/>
      <c r="V51" s="53"/>
      <c r="W51" s="53"/>
      <c r="X51" s="53"/>
      <c r="Y51" s="53"/>
    </row>
    <row r="52" spans="2:25" s="3" customFormat="1" x14ac:dyDescent="0.45">
      <c r="N52" s="129"/>
      <c r="O52" s="129"/>
      <c r="P52" s="129"/>
      <c r="Q52" s="129"/>
      <c r="R52" s="129"/>
      <c r="S52" s="131"/>
      <c r="T52" s="134"/>
      <c r="U52" s="53"/>
      <c r="V52" s="53"/>
      <c r="W52" s="53"/>
      <c r="X52" s="53"/>
      <c r="Y52" s="53"/>
    </row>
  </sheetData>
  <pageMargins left="0" right="0" top="1" bottom="0.5" header="0.5" footer="0.5"/>
  <pageSetup scale="94" fitToHeight="2" orientation="landscape" horizont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4C31-ED51-4EB2-BF9E-DAC5B705DD00}">
  <sheetPr>
    <pageSetUpPr fitToPage="1"/>
  </sheetPr>
  <dimension ref="A1:X52"/>
  <sheetViews>
    <sheetView showGridLines="0" topLeftCell="A10" zoomScaleNormal="100" workbookViewId="0">
      <selection activeCell="P41" sqref="P41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70312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5.703125" style="25" bestFit="1" customWidth="1"/>
    <col min="9" max="9" width="4.7031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25.703125" style="121" bestFit="1" customWidth="1"/>
    <col min="15" max="15" width="11.87890625" style="121" bestFit="1" customWidth="1"/>
    <col min="16" max="16" width="45.5859375" style="121" bestFit="1" customWidth="1"/>
    <col min="17" max="17" width="8.5859375" style="121" bestFit="1" customWidth="1"/>
    <col min="18" max="18" width="27.5859375" style="128" bestFit="1" customWidth="1"/>
    <col min="19" max="19" width="12.1171875" style="124" bestFit="1" customWidth="1"/>
    <col min="20" max="20" width="25.703125" style="62" bestFit="1" customWidth="1"/>
    <col min="21" max="21" width="6.5859375" style="62" bestFit="1" customWidth="1"/>
    <col min="22" max="22" width="45.5859375" style="62" bestFit="1" customWidth="1"/>
    <col min="23" max="23" width="8.5859375" style="62" bestFit="1" customWidth="1"/>
    <col min="24" max="24" width="27.5859375" style="47" bestFit="1" customWidth="1"/>
    <col min="25" max="16384" width="11.41015625" style="21"/>
  </cols>
  <sheetData>
    <row r="1" spans="1:24" x14ac:dyDescent="0.45">
      <c r="A1" s="21" t="s">
        <v>138</v>
      </c>
    </row>
    <row r="2" spans="1:24" x14ac:dyDescent="0.45">
      <c r="B2" s="72" t="s">
        <v>89</v>
      </c>
      <c r="N2" s="119" t="s">
        <v>179</v>
      </c>
      <c r="O2" s="120">
        <f>102%*100.75%</f>
        <v>1.0276500000000002</v>
      </c>
      <c r="Q2" s="120"/>
      <c r="R2" s="123"/>
    </row>
    <row r="3" spans="1:24" ht="13.2" customHeight="1" x14ac:dyDescent="0.45">
      <c r="B3" s="19" t="s">
        <v>140</v>
      </c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177" t="s">
        <v>141</v>
      </c>
      <c r="O3" s="124" t="s">
        <v>180</v>
      </c>
      <c r="P3" s="125"/>
      <c r="Q3" s="124"/>
      <c r="R3" s="127"/>
    </row>
    <row r="4" spans="1:24" ht="13.2" customHeight="1" x14ac:dyDescent="0.45">
      <c r="B4" s="22" t="s">
        <v>181</v>
      </c>
      <c r="C4" s="18"/>
      <c r="D4" s="18"/>
      <c r="E4" s="18"/>
      <c r="F4" s="19"/>
      <c r="G4" s="18"/>
      <c r="H4" s="18"/>
      <c r="I4" s="18"/>
      <c r="J4" s="20"/>
      <c r="K4" s="20"/>
      <c r="L4" s="20"/>
      <c r="M4" s="20"/>
      <c r="N4" s="177"/>
      <c r="O4" s="124"/>
      <c r="P4" s="125"/>
      <c r="Q4" s="124"/>
      <c r="R4" s="127"/>
    </row>
    <row r="5" spans="1:24" ht="13.2" customHeight="1" x14ac:dyDescent="0.45">
      <c r="B5" s="22" t="s">
        <v>182</v>
      </c>
      <c r="C5" s="18"/>
      <c r="D5" s="18"/>
      <c r="E5" s="18"/>
      <c r="F5" s="19"/>
      <c r="G5" s="18"/>
      <c r="H5" s="18"/>
      <c r="I5" s="18"/>
      <c r="J5" s="20"/>
      <c r="K5" s="20"/>
      <c r="L5" s="20"/>
      <c r="M5" s="20"/>
      <c r="N5" s="177"/>
      <c r="O5" s="124"/>
      <c r="P5" s="125"/>
      <c r="Q5" s="124"/>
      <c r="R5" s="127"/>
    </row>
    <row r="6" spans="1:24" ht="13.2" customHeight="1" x14ac:dyDescent="0.45">
      <c r="B6" s="19"/>
      <c r="C6" s="18"/>
      <c r="D6" s="18"/>
      <c r="E6" s="18"/>
      <c r="F6" s="19"/>
      <c r="G6" s="18"/>
      <c r="H6" s="18"/>
      <c r="I6" s="18"/>
      <c r="J6" s="20"/>
      <c r="K6" s="20"/>
      <c r="L6" s="20"/>
      <c r="M6" s="20"/>
      <c r="P6" s="125"/>
    </row>
    <row r="7" spans="1:24" ht="13.2" customHeight="1" x14ac:dyDescent="0.45">
      <c r="B7" s="22"/>
      <c r="C7" s="18" t="s">
        <v>145</v>
      </c>
      <c r="D7" s="18"/>
      <c r="E7" s="18"/>
      <c r="F7" s="19"/>
      <c r="G7" s="18"/>
      <c r="H7" s="143" t="s">
        <v>146</v>
      </c>
      <c r="I7" s="18" t="s">
        <v>147</v>
      </c>
      <c r="J7" s="18" t="s">
        <v>42</v>
      </c>
      <c r="K7" s="20"/>
      <c r="L7" s="20"/>
      <c r="M7" s="20"/>
      <c r="N7" s="125" t="s">
        <v>148</v>
      </c>
      <c r="O7" s="126"/>
      <c r="P7" s="126"/>
      <c r="Q7" s="126"/>
      <c r="R7" s="127"/>
      <c r="T7" s="62" t="s">
        <v>149</v>
      </c>
    </row>
    <row r="8" spans="1:24" ht="13.2" customHeight="1" x14ac:dyDescent="0.45">
      <c r="B8" s="36" t="s">
        <v>43</v>
      </c>
      <c r="C8" s="36" t="s">
        <v>150</v>
      </c>
      <c r="D8" s="36" t="s">
        <v>151</v>
      </c>
      <c r="E8" s="36" t="s">
        <v>152</v>
      </c>
      <c r="F8" s="37" t="s">
        <v>153</v>
      </c>
      <c r="G8" s="38" t="s">
        <v>47</v>
      </c>
      <c r="H8" s="39" t="s">
        <v>154</v>
      </c>
      <c r="I8" s="36" t="s">
        <v>155</v>
      </c>
      <c r="J8" s="36" t="s">
        <v>50</v>
      </c>
      <c r="K8" s="20"/>
      <c r="L8" s="20"/>
      <c r="M8" s="20"/>
      <c r="N8" s="136" t="s">
        <v>152</v>
      </c>
      <c r="O8" s="136" t="s">
        <v>156</v>
      </c>
      <c r="P8" s="137" t="s">
        <v>153</v>
      </c>
      <c r="Q8" s="136" t="s">
        <v>157</v>
      </c>
      <c r="R8" s="138" t="s">
        <v>158</v>
      </c>
      <c r="S8" s="139" t="s">
        <v>159</v>
      </c>
      <c r="T8" s="140" t="s">
        <v>152</v>
      </c>
      <c r="U8" s="140" t="s">
        <v>156</v>
      </c>
      <c r="V8" s="141" t="s">
        <v>153</v>
      </c>
      <c r="W8" s="140" t="s">
        <v>157</v>
      </c>
      <c r="X8" s="142" t="s">
        <v>158</v>
      </c>
    </row>
    <row r="9" spans="1:24" ht="13.2" customHeight="1" x14ac:dyDescent="0.45">
      <c r="G9" s="24"/>
      <c r="J9" s="25"/>
    </row>
    <row r="10" spans="1:24" ht="13.2" customHeight="1" x14ac:dyDescent="0.45">
      <c r="B10" s="25" t="s">
        <v>51</v>
      </c>
      <c r="C10" s="25">
        <v>2</v>
      </c>
      <c r="D10" s="42" t="s">
        <v>52</v>
      </c>
      <c r="E10" s="25" t="s">
        <v>53</v>
      </c>
      <c r="F10" s="22" t="s">
        <v>54</v>
      </c>
      <c r="G10" s="24">
        <v>300</v>
      </c>
      <c r="H10" s="25">
        <v>6</v>
      </c>
      <c r="I10" s="25" t="s">
        <v>55</v>
      </c>
      <c r="J10" s="67">
        <f ca="1">R10</f>
        <v>53.855111905355812</v>
      </c>
      <c r="K10" s="20"/>
      <c r="L10" s="31">
        <f ca="1">J10*1.04</f>
        <v>56.009316381570045</v>
      </c>
      <c r="M10" s="20"/>
      <c r="N10" s="125" t="str">
        <f>E10</f>
        <v>03860C</v>
      </c>
      <c r="O10" s="125" t="s">
        <v>160</v>
      </c>
      <c r="P10" s="177" t="str">
        <f>F10</f>
        <v>Electrician</v>
      </c>
      <c r="Q10" s="125" t="str">
        <f>D10</f>
        <v>01</v>
      </c>
      <c r="R10" s="128" cm="1">
        <f t="array" aca="1" ref="R10" ca="1">IF(O10="Y",((VLOOKUP(N10,INDIRECT($O$3),6,0)-VLOOKUP(N10,INDIRECT($O$3),7,0))*INDIRECT($N$2)+S10),VLOOKUP(N10,INDIRECT($O$3),6,0))</f>
        <v>53.855111905355812</v>
      </c>
      <c r="S10" s="135">
        <v>7.0000000000000007E-2</v>
      </c>
      <c r="T10" s="62" t="str">
        <f t="shared" ref="T10:W14" si="0">N10</f>
        <v>03860C</v>
      </c>
      <c r="U10" s="62" t="str">
        <f t="shared" si="0"/>
        <v>Y</v>
      </c>
      <c r="V10" s="62" t="str">
        <f t="shared" si="0"/>
        <v>Electrician</v>
      </c>
      <c r="W10" s="62" t="str">
        <f t="shared" si="0"/>
        <v>01</v>
      </c>
      <c r="X10" s="48">
        <f ca="1">ROUND(R10,3)</f>
        <v>53.854999999999997</v>
      </c>
    </row>
    <row r="11" spans="1:24" ht="13.2" customHeight="1" x14ac:dyDescent="0.45">
      <c r="B11" s="25" t="s">
        <v>51</v>
      </c>
      <c r="C11" s="25">
        <v>2</v>
      </c>
      <c r="D11" s="42" t="s">
        <v>56</v>
      </c>
      <c r="E11" s="25" t="s">
        <v>57</v>
      </c>
      <c r="F11" s="22" t="s">
        <v>58</v>
      </c>
      <c r="G11" s="24">
        <v>363</v>
      </c>
      <c r="H11" s="25">
        <v>8</v>
      </c>
      <c r="I11" s="25" t="s">
        <v>55</v>
      </c>
      <c r="J11" s="67">
        <f t="shared" ref="J11:J12" ca="1" si="1">R11</f>
        <v>57.124775138897959</v>
      </c>
      <c r="K11" s="20"/>
      <c r="L11" s="31"/>
      <c r="M11" s="20"/>
      <c r="N11" s="125" t="str">
        <f t="shared" ref="N11:N13" si="2">E11</f>
        <v>04600C</v>
      </c>
      <c r="O11" s="125" t="s">
        <v>160</v>
      </c>
      <c r="P11" s="177" t="str">
        <f>F11</f>
        <v>Foreman, Electrician</v>
      </c>
      <c r="Q11" s="125" t="str">
        <f>D11</f>
        <v>02</v>
      </c>
      <c r="R11" s="128" cm="1">
        <f t="array" aca="1" ref="R11" ca="1">IF(O11="Y",((VLOOKUP(N11,INDIRECT($O$3),6,0)-VLOOKUP(N11,INDIRECT($O$3),7,0))*INDIRECT($N$2)+S11),VLOOKUP(N11,INDIRECT($O$3),6,0))</f>
        <v>57.124775138897959</v>
      </c>
      <c r="S11" s="135">
        <v>7.0000000000000007E-2</v>
      </c>
      <c r="T11" s="62" t="str">
        <f t="shared" si="0"/>
        <v>04600C</v>
      </c>
      <c r="U11" s="62" t="str">
        <f t="shared" si="0"/>
        <v>Y</v>
      </c>
      <c r="V11" s="62" t="str">
        <f t="shared" si="0"/>
        <v>Foreman, Electrician</v>
      </c>
      <c r="W11" s="62" t="str">
        <f t="shared" si="0"/>
        <v>02</v>
      </c>
      <c r="X11" s="48">
        <f t="shared" ref="X11:X14" ca="1" si="3">ROUND(R11,3)</f>
        <v>57.125</v>
      </c>
    </row>
    <row r="12" spans="1:24" ht="13.2" customHeight="1" x14ac:dyDescent="0.45">
      <c r="B12" s="25" t="s">
        <v>51</v>
      </c>
      <c r="C12" s="25">
        <v>2</v>
      </c>
      <c r="D12" s="42" t="s">
        <v>59</v>
      </c>
      <c r="E12" s="25" t="s">
        <v>60</v>
      </c>
      <c r="F12" s="22" t="s">
        <v>61</v>
      </c>
      <c r="G12" s="24">
        <v>363</v>
      </c>
      <c r="H12" s="25">
        <v>8</v>
      </c>
      <c r="I12" s="25" t="s">
        <v>55</v>
      </c>
      <c r="J12" s="67">
        <f t="shared" ca="1" si="1"/>
        <v>58.759705992431861</v>
      </c>
      <c r="K12" s="20"/>
      <c r="L12" s="31"/>
      <c r="M12" s="20"/>
      <c r="N12" s="125" t="str">
        <f t="shared" si="2"/>
        <v>04605C</v>
      </c>
      <c r="O12" s="125" t="s">
        <v>160</v>
      </c>
      <c r="P12" s="177" t="str">
        <f>F12</f>
        <v xml:space="preserve">Foreman, (Master) Electrician </v>
      </c>
      <c r="Q12" s="125" t="str">
        <f>D12</f>
        <v>03</v>
      </c>
      <c r="R12" s="128" cm="1">
        <f t="array" aca="1" ref="R12" ca="1">IF(O12="Y",((VLOOKUP(N12,INDIRECT($O$3),6,0)-VLOOKUP(N12,INDIRECT($O$3),7,0))*INDIRECT($N$2)+S12),VLOOKUP(N12,INDIRECT($O$3),6,0))</f>
        <v>58.759705992431861</v>
      </c>
      <c r="S12" s="135">
        <v>7.0000000000000007E-2</v>
      </c>
      <c r="T12" s="62" t="str">
        <f t="shared" si="0"/>
        <v>04605C</v>
      </c>
      <c r="U12" s="62" t="str">
        <f t="shared" si="0"/>
        <v>Y</v>
      </c>
      <c r="V12" s="62" t="str">
        <f t="shared" si="0"/>
        <v xml:space="preserve">Foreman, (Master) Electrician </v>
      </c>
      <c r="W12" s="62" t="str">
        <f t="shared" si="0"/>
        <v>03</v>
      </c>
      <c r="X12" s="48">
        <f t="shared" ca="1" si="3"/>
        <v>58.76</v>
      </c>
    </row>
    <row r="13" spans="1:24" ht="13.2" customHeight="1" x14ac:dyDescent="0.45">
      <c r="B13" s="25" t="s">
        <v>51</v>
      </c>
      <c r="C13" s="25">
        <v>2</v>
      </c>
      <c r="D13" s="42" t="s">
        <v>62</v>
      </c>
      <c r="E13" s="25" t="s">
        <v>63</v>
      </c>
      <c r="F13" s="22" t="s">
        <v>64</v>
      </c>
      <c r="G13" s="24">
        <v>475</v>
      </c>
      <c r="H13" s="25">
        <v>10</v>
      </c>
      <c r="I13" s="25" t="s">
        <v>55</v>
      </c>
      <c r="J13" s="67">
        <f ca="1">R13</f>
        <v>60.394636845965792</v>
      </c>
      <c r="K13" s="20"/>
      <c r="L13" s="31"/>
      <c r="M13" s="20"/>
      <c r="N13" s="125" t="str">
        <f t="shared" si="2"/>
        <v>05140C</v>
      </c>
      <c r="O13" s="125" t="s">
        <v>160</v>
      </c>
      <c r="P13" s="177" t="str">
        <f>F13</f>
        <v>*General Foreman, Electrician</v>
      </c>
      <c r="Q13" s="125" t="str">
        <f>D13</f>
        <v>CSU N42</v>
      </c>
      <c r="R13" s="128" cm="1">
        <f t="array" aca="1" ref="R13" ca="1">IF(O13="Y",((VLOOKUP(N13,INDIRECT($O$3),6,0)-VLOOKUP(N13,INDIRECT($O$3),7,0))*INDIRECT($N$2)+S13),VLOOKUP(N13,INDIRECT($O$3),6,0))</f>
        <v>60.394636845965792</v>
      </c>
      <c r="S13" s="135">
        <v>7.0000000000000007E-2</v>
      </c>
      <c r="T13" s="62" t="str">
        <f t="shared" si="0"/>
        <v>05140C</v>
      </c>
      <c r="U13" s="62" t="str">
        <f t="shared" si="0"/>
        <v>Y</v>
      </c>
      <c r="V13" s="62" t="str">
        <f t="shared" si="0"/>
        <v>*General Foreman, Electrician</v>
      </c>
      <c r="W13" s="62" t="str">
        <f t="shared" si="0"/>
        <v>CSU N42</v>
      </c>
      <c r="X13" s="48">
        <f t="shared" ca="1" si="3"/>
        <v>60.395000000000003</v>
      </c>
    </row>
    <row r="14" spans="1:24" ht="13.2" customHeight="1" x14ac:dyDescent="0.45">
      <c r="B14" s="25" t="s">
        <v>51</v>
      </c>
      <c r="C14" s="25">
        <v>2</v>
      </c>
      <c r="D14" s="42" t="s">
        <v>62</v>
      </c>
      <c r="E14" s="25" t="s">
        <v>99</v>
      </c>
      <c r="F14" s="22" t="s">
        <v>100</v>
      </c>
      <c r="G14" s="24"/>
      <c r="H14" s="25">
        <v>10</v>
      </c>
      <c r="I14" s="25" t="s">
        <v>55</v>
      </c>
      <c r="J14" s="67">
        <f ca="1">R14</f>
        <v>60.394636845965792</v>
      </c>
      <c r="K14" s="20"/>
      <c r="L14" s="31"/>
      <c r="M14" s="20"/>
      <c r="N14" s="121" t="s">
        <v>99</v>
      </c>
      <c r="O14" s="121" t="s">
        <v>160</v>
      </c>
      <c r="P14" s="177" t="str">
        <f>F14</f>
        <v>*Supervisor Water Plant Electrical and Control Systems</v>
      </c>
      <c r="Q14" s="125" t="str">
        <f>D14</f>
        <v>CSU N42</v>
      </c>
      <c r="R14" s="128" cm="1">
        <f t="array" aca="1" ref="R14" ca="1">IF(O14="Y",((VLOOKUP(N14,INDIRECT($O$3),6,0)-VLOOKUP(N14,INDIRECT($O$3),7,0))*INDIRECT($N$2)+S14),VLOOKUP(N14,INDIRECT($O$3),6,0))</f>
        <v>60.394636845965792</v>
      </c>
      <c r="S14" s="135">
        <v>7.0000000000000007E-2</v>
      </c>
      <c r="T14" s="62" t="str">
        <f t="shared" si="0"/>
        <v>10375C</v>
      </c>
      <c r="U14" s="62" t="str">
        <f t="shared" si="0"/>
        <v>Y</v>
      </c>
      <c r="V14" s="62" t="str">
        <f t="shared" si="0"/>
        <v>*Supervisor Water Plant Electrical and Control Systems</v>
      </c>
      <c r="W14" s="62" t="str">
        <f t="shared" si="0"/>
        <v>CSU N42</v>
      </c>
      <c r="X14" s="48">
        <f t="shared" ca="1" si="3"/>
        <v>60.395000000000003</v>
      </c>
    </row>
    <row r="15" spans="1:24" ht="13.2" customHeight="1" x14ac:dyDescent="0.45">
      <c r="B15" s="25"/>
      <c r="C15" s="25"/>
      <c r="D15" s="42"/>
      <c r="E15" s="25"/>
      <c r="F15" s="22"/>
      <c r="G15" s="24"/>
      <c r="J15" s="67"/>
      <c r="K15" s="20"/>
      <c r="L15" s="31"/>
      <c r="M15" s="20"/>
      <c r="N15" s="125"/>
      <c r="O15" s="125"/>
      <c r="P15" s="125"/>
      <c r="Q15" s="125"/>
    </row>
    <row r="16" spans="1:24" ht="13.2" customHeight="1" x14ac:dyDescent="0.45">
      <c r="B16" s="18"/>
      <c r="C16" s="18"/>
      <c r="D16" s="32"/>
      <c r="E16" s="18"/>
      <c r="F16" s="22" t="s">
        <v>101</v>
      </c>
      <c r="G16" s="23"/>
      <c r="H16" s="18"/>
      <c r="I16" s="18"/>
      <c r="J16" s="30"/>
      <c r="K16" s="20"/>
      <c r="L16" s="31"/>
      <c r="M16" s="20"/>
      <c r="N16" s="125"/>
      <c r="O16" s="125"/>
      <c r="P16" s="125"/>
      <c r="Q16" s="125"/>
    </row>
    <row r="17" spans="3:24" ht="13.2" customHeight="1" x14ac:dyDescent="0.45">
      <c r="C17" s="1" t="s">
        <v>66</v>
      </c>
      <c r="D17" s="2"/>
      <c r="H17" s="2"/>
      <c r="I17" s="2"/>
      <c r="J17" s="2"/>
      <c r="K17" s="3"/>
      <c r="L17" s="3"/>
      <c r="M17" s="3"/>
      <c r="N17" s="129"/>
      <c r="O17" s="129"/>
      <c r="P17" s="129"/>
      <c r="Q17" s="129"/>
      <c r="R17" s="130"/>
    </row>
    <row r="18" spans="3:24" ht="13.2" customHeight="1" x14ac:dyDescent="0.45">
      <c r="C18" s="8" t="s">
        <v>67</v>
      </c>
      <c r="G18" s="5"/>
      <c r="H18" s="6"/>
      <c r="I18" s="6"/>
      <c r="J18" s="7"/>
      <c r="K18" s="7"/>
      <c r="L18" s="3"/>
      <c r="M18" s="3"/>
      <c r="N18" s="129"/>
      <c r="O18" s="129"/>
      <c r="P18" s="129"/>
      <c r="Q18" s="129"/>
      <c r="R18" s="130"/>
    </row>
    <row r="19" spans="3:24" ht="13.2" customHeight="1" x14ac:dyDescent="0.45">
      <c r="C19" s="144">
        <f ca="1">R19</f>
        <v>0.30989106335015892</v>
      </c>
      <c r="D19" s="5" t="s">
        <v>68</v>
      </c>
      <c r="I19" s="10"/>
      <c r="J19" s="11"/>
      <c r="K19" s="11"/>
      <c r="L19" s="12"/>
      <c r="M19" s="12"/>
      <c r="N19" s="129" t="s">
        <v>69</v>
      </c>
      <c r="O19" s="129" t="s">
        <v>160</v>
      </c>
      <c r="P19" s="124" t="s">
        <v>102</v>
      </c>
      <c r="Q19" s="129"/>
      <c r="R19" s="128" cm="1">
        <f t="array" aca="1" ref="R19" ca="1">IF(O19="Y",VLOOKUP(N19,INDIRECT($O$3),6,0)*INDIRECT($N$2),VLOOKUP(N19,INDIRECT($O$3),6,0))</f>
        <v>0.30989106335015892</v>
      </c>
      <c r="S19" s="135"/>
      <c r="T19" s="62" t="str">
        <f t="shared" ref="T19:W22" si="4">N19</f>
        <v>LNG10</v>
      </c>
      <c r="U19" s="62" t="str">
        <f t="shared" si="4"/>
        <v>Y</v>
      </c>
      <c r="V19" s="62" t="str">
        <f t="shared" si="4"/>
        <v>Longevity - 10 years</v>
      </c>
      <c r="W19" s="62">
        <f t="shared" si="4"/>
        <v>0</v>
      </c>
      <c r="X19" s="48">
        <f t="shared" ref="X19:X22" ca="1" si="5">ROUND(R19,3)</f>
        <v>0.31</v>
      </c>
    </row>
    <row r="20" spans="3:24" ht="13.2" customHeight="1" x14ac:dyDescent="0.45">
      <c r="C20" s="144">
        <f ca="1">R20</f>
        <v>0.42817009516319676</v>
      </c>
      <c r="D20" s="5" t="s">
        <v>70</v>
      </c>
      <c r="I20" s="10"/>
      <c r="J20" s="11"/>
      <c r="K20" s="11"/>
      <c r="L20" s="12"/>
      <c r="M20" s="12"/>
      <c r="N20" s="129" t="s">
        <v>71</v>
      </c>
      <c r="O20" s="129" t="s">
        <v>160</v>
      </c>
      <c r="P20" s="124" t="s">
        <v>103</v>
      </c>
      <c r="Q20" s="129"/>
      <c r="R20" s="128" cm="1">
        <f t="array" aca="1" ref="R20" ca="1">IF(O20="Y",VLOOKUP(N20,INDIRECT($O$3),6,0)*INDIRECT($N$2),VLOOKUP(N20,INDIRECT($O$3),6,0))</f>
        <v>0.42817009516319676</v>
      </c>
      <c r="S20" s="135"/>
      <c r="T20" s="62" t="str">
        <f t="shared" si="4"/>
        <v>LNG15</v>
      </c>
      <c r="U20" s="62" t="str">
        <f t="shared" si="4"/>
        <v>Y</v>
      </c>
      <c r="V20" s="62" t="str">
        <f t="shared" si="4"/>
        <v>Longevity - 15 years</v>
      </c>
      <c r="W20" s="62">
        <f t="shared" si="4"/>
        <v>0</v>
      </c>
      <c r="X20" s="48">
        <f t="shared" ca="1" si="5"/>
        <v>0.42799999999999999</v>
      </c>
    </row>
    <row r="21" spans="3:24" ht="13.2" customHeight="1" x14ac:dyDescent="0.45">
      <c r="C21" s="144">
        <f ca="1">R21</f>
        <v>0.68247001356122783</v>
      </c>
      <c r="D21" s="5" t="s">
        <v>72</v>
      </c>
      <c r="I21" s="10"/>
      <c r="J21" s="11"/>
      <c r="K21" s="11"/>
      <c r="L21" s="12"/>
      <c r="M21" s="12"/>
      <c r="N21" s="129" t="s">
        <v>73</v>
      </c>
      <c r="O21" s="129" t="s">
        <v>160</v>
      </c>
      <c r="P21" s="124" t="s">
        <v>104</v>
      </c>
      <c r="Q21" s="129"/>
      <c r="R21" s="128" cm="1">
        <f t="array" aca="1" ref="R21" ca="1">IF(O21="Y",VLOOKUP(N21,INDIRECT($O$3),6,0)*INDIRECT($N$2),VLOOKUP(N21,INDIRECT($O$3),6,0))</f>
        <v>0.68247001356122783</v>
      </c>
      <c r="S21" s="135"/>
      <c r="T21" s="62" t="str">
        <f t="shared" si="4"/>
        <v>LNG20</v>
      </c>
      <c r="U21" s="62" t="str">
        <f t="shared" si="4"/>
        <v>Y</v>
      </c>
      <c r="V21" s="62" t="str">
        <f t="shared" si="4"/>
        <v>Longevity - 20 years</v>
      </c>
      <c r="W21" s="62">
        <f t="shared" si="4"/>
        <v>0</v>
      </c>
      <c r="X21" s="48">
        <f t="shared" ca="1" si="5"/>
        <v>0.68200000000000005</v>
      </c>
    </row>
    <row r="22" spans="3:24" ht="13.2" customHeight="1" x14ac:dyDescent="0.45">
      <c r="C22" s="144">
        <f ca="1">R22</f>
        <v>1.0231136251827768</v>
      </c>
      <c r="D22" s="5" t="s">
        <v>74</v>
      </c>
      <c r="I22" s="10"/>
      <c r="J22" s="11"/>
      <c r="K22" s="11"/>
      <c r="L22" s="12"/>
      <c r="M22" s="12"/>
      <c r="N22" s="129" t="s">
        <v>75</v>
      </c>
      <c r="O22" s="129" t="s">
        <v>160</v>
      </c>
      <c r="P22" s="124" t="s">
        <v>105</v>
      </c>
      <c r="Q22" s="129"/>
      <c r="R22" s="128" cm="1">
        <f t="array" aca="1" ref="R22" ca="1">IF(O22="Y",VLOOKUP(N22,INDIRECT($O$3),6,0)*INDIRECT($N$2),VLOOKUP(N22,INDIRECT($O$3),6,0))</f>
        <v>1.0231136251827768</v>
      </c>
      <c r="S22" s="135"/>
      <c r="T22" s="62" t="str">
        <f t="shared" si="4"/>
        <v>LNG25</v>
      </c>
      <c r="U22" s="62" t="str">
        <f t="shared" si="4"/>
        <v>Y</v>
      </c>
      <c r="V22" s="62" t="str">
        <f t="shared" si="4"/>
        <v>Longevity - 25 years</v>
      </c>
      <c r="W22" s="62">
        <f t="shared" si="4"/>
        <v>0</v>
      </c>
      <c r="X22" s="48">
        <f t="shared" ca="1" si="5"/>
        <v>1.0229999999999999</v>
      </c>
    </row>
    <row r="23" spans="3:24" ht="13.2" customHeight="1" x14ac:dyDescent="0.45"/>
    <row r="24" spans="3:24" ht="13.2" customHeight="1" x14ac:dyDescent="0.45">
      <c r="C24" s="1" t="s">
        <v>76</v>
      </c>
    </row>
    <row r="25" spans="3:24" ht="13.2" customHeight="1" x14ac:dyDescent="0.45">
      <c r="C25" s="46" t="str">
        <f ca="1">"Provided that a night shift differential of "&amp;TEXT(R25,"$#.000")&amp;" per hour for each hour, or fraction thereof, they"</f>
        <v>Provided that a night shift differential of $2.511 per hour for each hour, or fraction thereof, they</v>
      </c>
      <c r="G25" s="33"/>
      <c r="H25" s="19"/>
      <c r="N25" s="121" t="s">
        <v>79</v>
      </c>
      <c r="O25" s="129" t="s">
        <v>160</v>
      </c>
      <c r="P25" s="124" t="s">
        <v>106</v>
      </c>
      <c r="Q25" s="129"/>
      <c r="R25" s="128" cm="1">
        <f t="array" aca="1" ref="R25" ca="1">IF(O25="Y",VLOOKUP(N25,INDIRECT($O$3),6,0)*INDIRECT($N$2),VLOOKUP(N25,INDIRECT($O$3),6,0))</f>
        <v>2.5112538331924861</v>
      </c>
      <c r="S25" s="135"/>
      <c r="T25" s="62" t="str">
        <f t="shared" ref="T25:W26" si="6">N25</f>
        <v>CELEVE</v>
      </c>
      <c r="U25" s="62" t="str">
        <f t="shared" si="6"/>
        <v>Y</v>
      </c>
      <c r="V25" s="62" t="str">
        <f t="shared" si="6"/>
        <v>TL-Evening Shift Premium-CEL</v>
      </c>
      <c r="W25" s="62">
        <f t="shared" si="6"/>
        <v>0</v>
      </c>
      <c r="X25" s="48">
        <f t="shared" ref="X25:X26" ca="1" si="7">ROUND(R25,3)</f>
        <v>2.5110000000000001</v>
      </c>
    </row>
    <row r="26" spans="3:24" ht="13.2" customHeight="1" x14ac:dyDescent="0.45">
      <c r="C26" s="46" t="s">
        <v>80</v>
      </c>
      <c r="N26" s="121" t="s">
        <v>81</v>
      </c>
      <c r="O26" s="129" t="s">
        <v>160</v>
      </c>
      <c r="P26" s="124" t="s">
        <v>107</v>
      </c>
      <c r="Q26" s="129"/>
      <c r="R26" s="128" cm="1">
        <f t="array" aca="1" ref="R26" ca="1">IF(O26="Y",VLOOKUP(N26,INDIRECT($O$3),6,0)*INDIRECT($N$2),VLOOKUP(N26,INDIRECT($O$3),6,0))</f>
        <v>2.5112538331924861</v>
      </c>
      <c r="S26" s="135"/>
      <c r="T26" s="62" t="str">
        <f t="shared" si="6"/>
        <v>CELSGT</v>
      </c>
      <c r="U26" s="62" t="str">
        <f t="shared" si="6"/>
        <v>Y</v>
      </c>
      <c r="V26" s="62" t="str">
        <f t="shared" si="6"/>
        <v>TL-Signal Truck Premium-CEL</v>
      </c>
      <c r="W26" s="62">
        <f t="shared" si="6"/>
        <v>0</v>
      </c>
      <c r="X26" s="48">
        <f t="shared" ca="1" si="7"/>
        <v>2.5110000000000001</v>
      </c>
    </row>
    <row r="27" spans="3:24" ht="13.2" customHeight="1" x14ac:dyDescent="0.45">
      <c r="C27" s="46" t="s">
        <v>82</v>
      </c>
      <c r="S27" s="135"/>
    </row>
    <row r="28" spans="3:24" ht="13.2" customHeight="1" x14ac:dyDescent="0.45">
      <c r="C28" s="46"/>
      <c r="S28" s="135"/>
    </row>
    <row r="29" spans="3:24" ht="13.2" customHeight="1" x14ac:dyDescent="0.45">
      <c r="C29" s="46" t="str">
        <f ca="1">"Provided that a weekend shift differential of "&amp;TEXT(R29,"$#.000")&amp;" per hour shall be paid to employees who work"</f>
        <v>Provided that a weekend shift differential of $1.703 per hour shall be paid to employees who work</v>
      </c>
      <c r="G29" s="35"/>
      <c r="H29" s="19"/>
      <c r="N29" s="121" t="s">
        <v>85</v>
      </c>
      <c r="O29" s="129" t="s">
        <v>160</v>
      </c>
      <c r="P29" s="124" t="s">
        <v>108</v>
      </c>
      <c r="Q29" s="129"/>
      <c r="R29" s="128" cm="1">
        <f t="array" aca="1" ref="R29" ca="1">IF(O29="Y",VLOOKUP(N29,INDIRECT($O$3),6,0)*INDIRECT($N$2),VLOOKUP(N29,INDIRECT($O$3),6,0))</f>
        <v>1.7027673041099438</v>
      </c>
      <c r="S29" s="135"/>
      <c r="T29" s="62" t="str">
        <f>N29</f>
        <v>CELWKE</v>
      </c>
      <c r="U29" s="62" t="str">
        <f>O29</f>
        <v>Y</v>
      </c>
      <c r="V29" s="62" t="str">
        <f>P29</f>
        <v>TL-Wkend Shift dif CEL</v>
      </c>
      <c r="W29" s="62">
        <f>Q29</f>
        <v>0</v>
      </c>
      <c r="X29" s="48">
        <f t="shared" ref="X29" ca="1" si="8">ROUND(R29,3)</f>
        <v>1.7030000000000001</v>
      </c>
    </row>
    <row r="30" spans="3:24" ht="13.2" customHeight="1" x14ac:dyDescent="0.45">
      <c r="C30" s="46" t="s">
        <v>86</v>
      </c>
      <c r="S30" s="135"/>
    </row>
    <row r="31" spans="3:24" ht="13.2" customHeight="1" x14ac:dyDescent="0.45">
      <c r="F31" s="19"/>
      <c r="S31" s="135"/>
    </row>
    <row r="32" spans="3:24" ht="13.2" customHeight="1" x14ac:dyDescent="0.45">
      <c r="C32" s="68" t="str">
        <f ca="1">"Provided that a premium of "&amp;TEXT(R32,"$#.000")&amp;" per hour shall be paid to employees for hours worked while performing welding work."</f>
        <v>Provided that a premium of $1.165 per hour shall be paid to employees for hours worked while performing welding work.</v>
      </c>
      <c r="D32" s="3"/>
      <c r="N32" s="129" t="s">
        <v>136</v>
      </c>
      <c r="O32" s="129" t="s">
        <v>160</v>
      </c>
      <c r="P32" s="124" t="s">
        <v>137</v>
      </c>
      <c r="Q32" s="129"/>
      <c r="R32" s="128" cm="1">
        <f t="array" aca="1" ref="R32" ca="1">IF(O32="Y",VLOOKUP(N32,INDIRECT($O$3),6,0)*INDIRECT($N$2),VLOOKUP(N32,INDIRECT($O$3),6,0))</f>
        <v>1.1653106582565298</v>
      </c>
      <c r="S32" s="135"/>
      <c r="T32" s="62" t="str">
        <f>N32</f>
        <v>CELWLD</v>
      </c>
      <c r="U32" s="62" t="str">
        <f>O32</f>
        <v>Y</v>
      </c>
      <c r="V32" s="62" t="str">
        <f>P32</f>
        <v>Welding premium - add to COMET</v>
      </c>
      <c r="W32" s="62">
        <f>Q32</f>
        <v>0</v>
      </c>
      <c r="X32" s="48">
        <f t="shared" ref="X32" ca="1" si="9">ROUND(R32,3)</f>
        <v>1.165</v>
      </c>
    </row>
    <row r="33" spans="1:24" ht="13.2" customHeight="1" x14ac:dyDescent="0.45">
      <c r="C33" s="68"/>
      <c r="D33" s="3"/>
      <c r="N33" s="129"/>
      <c r="O33" s="129"/>
      <c r="P33" s="129"/>
      <c r="Q33" s="129"/>
      <c r="R33" s="130"/>
    </row>
    <row r="34" spans="1:24" s="12" customFormat="1" x14ac:dyDescent="0.45">
      <c r="C34" s="12" t="s">
        <v>109</v>
      </c>
      <c r="N34" s="150" t="s">
        <v>87</v>
      </c>
      <c r="O34" s="129" t="s">
        <v>51</v>
      </c>
      <c r="P34" s="124" t="s">
        <v>110</v>
      </c>
      <c r="Q34" s="129"/>
      <c r="R34" s="145" t="s">
        <v>183</v>
      </c>
      <c r="S34" s="133"/>
      <c r="T34" s="147" t="str">
        <f>N34</f>
        <v>CELCDY</v>
      </c>
      <c r="U34" s="62" t="str">
        <f>O34</f>
        <v>N</v>
      </c>
      <c r="V34" s="62" t="str">
        <f t="shared" ref="V34:V35" si="10">P34</f>
        <v>TL-On call by the day-CEL</v>
      </c>
      <c r="W34" s="62">
        <f>Q34</f>
        <v>0</v>
      </c>
      <c r="X34" s="146" t="str">
        <f>R34</f>
        <v>ONCAL - TRC  for M-F non-holiday</v>
      </c>
    </row>
    <row r="35" spans="1:24" s="12" customFormat="1" x14ac:dyDescent="0.45">
      <c r="C35" s="68" t="s">
        <v>111</v>
      </c>
      <c r="N35" s="150" t="s">
        <v>88</v>
      </c>
      <c r="O35" s="129" t="s">
        <v>51</v>
      </c>
      <c r="P35" s="124" t="s">
        <v>112</v>
      </c>
      <c r="Q35" s="129"/>
      <c r="R35" s="145" t="s">
        <v>175</v>
      </c>
      <c r="S35" s="133"/>
      <c r="T35" s="147" t="str">
        <f>N35</f>
        <v>CELCWE</v>
      </c>
      <c r="U35" s="62" t="str">
        <f>O35</f>
        <v>N</v>
      </c>
      <c r="V35" s="62" t="str">
        <f t="shared" si="10"/>
        <v>TL-On call by day Weekend-CEL</v>
      </c>
      <c r="W35" s="62">
        <f>Q35</f>
        <v>0</v>
      </c>
      <c r="X35" s="146" t="str">
        <f>R35</f>
        <v>ONOCW - TRC for weekend</v>
      </c>
    </row>
    <row r="36" spans="1:24" s="3" customFormat="1" x14ac:dyDescent="0.45">
      <c r="C36" s="68" t="s">
        <v>113</v>
      </c>
      <c r="N36" s="129"/>
      <c r="O36" s="129"/>
      <c r="P36" s="149"/>
      <c r="Q36" s="129"/>
      <c r="R36" s="131"/>
      <c r="S36" s="134"/>
      <c r="T36" s="53"/>
      <c r="U36" s="53"/>
      <c r="V36" s="53"/>
      <c r="W36" s="53"/>
      <c r="X36" s="49"/>
    </row>
    <row r="37" spans="1:24" s="3" customFormat="1" x14ac:dyDescent="0.45">
      <c r="C37" s="68" t="s">
        <v>114</v>
      </c>
      <c r="N37" s="129"/>
      <c r="O37" s="129"/>
      <c r="P37" s="129"/>
      <c r="Q37" s="129"/>
      <c r="R37" s="131"/>
      <c r="S37" s="134"/>
      <c r="T37" s="53"/>
      <c r="U37" s="53"/>
      <c r="V37" s="53"/>
      <c r="W37" s="53"/>
      <c r="X37" s="49"/>
    </row>
    <row r="38" spans="1:24" s="3" customFormat="1" x14ac:dyDescent="0.45">
      <c r="C38" s="68" t="s">
        <v>115</v>
      </c>
      <c r="N38" s="148" t="s">
        <v>184</v>
      </c>
      <c r="O38" s="148"/>
      <c r="P38" s="129"/>
      <c r="Q38" s="134"/>
      <c r="R38" s="131"/>
      <c r="S38" s="134"/>
      <c r="T38" s="148" t="s">
        <v>184</v>
      </c>
      <c r="U38" s="148"/>
      <c r="V38" s="53"/>
      <c r="W38" s="148"/>
      <c r="X38" s="49"/>
    </row>
    <row r="39" spans="1:24" s="3" customFormat="1" x14ac:dyDescent="0.45">
      <c r="N39" s="129"/>
      <c r="O39" s="129"/>
      <c r="P39" s="134"/>
      <c r="Q39" s="129"/>
      <c r="R39" s="131"/>
      <c r="S39" s="134"/>
      <c r="T39" s="53"/>
      <c r="U39" s="53"/>
      <c r="V39" s="53"/>
      <c r="W39" s="53"/>
      <c r="X39" s="49"/>
    </row>
    <row r="40" spans="1:24" s="3" customFormat="1" x14ac:dyDescent="0.45">
      <c r="N40" s="129"/>
      <c r="O40" s="129"/>
      <c r="P40" s="129"/>
      <c r="Q40" s="129"/>
      <c r="R40" s="131"/>
      <c r="S40" s="134"/>
      <c r="T40" s="53"/>
      <c r="U40" s="53"/>
      <c r="V40" s="53"/>
      <c r="W40" s="53"/>
      <c r="X40" s="49"/>
    </row>
    <row r="41" spans="1:24" s="3" customFormat="1" x14ac:dyDescent="0.45">
      <c r="N41" s="129"/>
      <c r="O41" s="129"/>
      <c r="P41" s="129"/>
      <c r="Q41" s="129"/>
      <c r="R41" s="131"/>
      <c r="S41" s="134"/>
      <c r="T41" s="53"/>
      <c r="U41" s="53"/>
      <c r="V41" s="53"/>
      <c r="W41" s="53"/>
      <c r="X41" s="49"/>
    </row>
    <row r="42" spans="1:24" s="3" customFormat="1" x14ac:dyDescent="0.45">
      <c r="A42" s="3" t="s">
        <v>161</v>
      </c>
      <c r="J42" s="3" t="s">
        <v>162</v>
      </c>
      <c r="N42" s="129"/>
      <c r="O42" s="129"/>
      <c r="P42" s="129"/>
      <c r="Q42" s="129"/>
      <c r="R42" s="131"/>
      <c r="S42" s="134"/>
      <c r="T42" s="53"/>
      <c r="U42" s="53"/>
      <c r="V42" s="53"/>
      <c r="W42" s="53"/>
      <c r="X42" s="49"/>
    </row>
    <row r="43" spans="1:24" s="3" customFormat="1" x14ac:dyDescent="0.45">
      <c r="N43" s="129"/>
      <c r="O43" s="129"/>
      <c r="P43" s="129"/>
      <c r="Q43" s="129"/>
      <c r="R43" s="131"/>
      <c r="S43" s="134"/>
      <c r="T43" s="53"/>
      <c r="U43" s="53"/>
      <c r="V43" s="53"/>
      <c r="W43" s="53"/>
      <c r="X43" s="49"/>
    </row>
    <row r="44" spans="1:24" s="3" customFormat="1" x14ac:dyDescent="0.45">
      <c r="N44" s="129"/>
      <c r="O44" s="129"/>
      <c r="P44" s="129"/>
      <c r="Q44" s="129"/>
      <c r="R44" s="131"/>
      <c r="S44" s="134"/>
      <c r="T44" s="53"/>
      <c r="U44" s="53"/>
      <c r="V44" s="53"/>
      <c r="W44" s="53"/>
      <c r="X44" s="49"/>
    </row>
    <row r="45" spans="1:24" s="3" customFormat="1" x14ac:dyDescent="0.45">
      <c r="N45" s="129"/>
      <c r="O45" s="129"/>
      <c r="P45" s="129"/>
      <c r="Q45" s="129"/>
      <c r="R45" s="131"/>
      <c r="S45" s="134"/>
      <c r="T45" s="53"/>
      <c r="U45" s="53"/>
      <c r="V45" s="53"/>
      <c r="W45" s="53"/>
      <c r="X45" s="49"/>
    </row>
    <row r="46" spans="1:24" s="3" customFormat="1" x14ac:dyDescent="0.45">
      <c r="N46" s="129"/>
      <c r="O46" s="129"/>
      <c r="P46" s="129"/>
      <c r="Q46" s="129"/>
      <c r="R46" s="131"/>
      <c r="S46" s="134"/>
      <c r="T46" s="53"/>
      <c r="U46" s="53"/>
      <c r="V46" s="53"/>
      <c r="W46" s="53"/>
      <c r="X46" s="49"/>
    </row>
    <row r="47" spans="1:24" s="3" customFormat="1" x14ac:dyDescent="0.45">
      <c r="B47" s="29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32"/>
      <c r="O47" s="132"/>
      <c r="P47" s="132"/>
      <c r="Q47" s="132"/>
      <c r="R47" s="131"/>
      <c r="S47" s="134"/>
      <c r="T47" s="53"/>
      <c r="U47" s="53"/>
      <c r="V47" s="53"/>
      <c r="W47" s="53"/>
      <c r="X47" s="49"/>
    </row>
    <row r="48" spans="1:24" s="3" customFormat="1" x14ac:dyDescent="0.4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2"/>
      <c r="O48" s="132"/>
      <c r="P48" s="132"/>
      <c r="Q48" s="132"/>
      <c r="R48" s="131"/>
      <c r="S48" s="134"/>
      <c r="T48" s="53"/>
      <c r="U48" s="53"/>
      <c r="V48" s="53"/>
      <c r="W48" s="53"/>
      <c r="X48" s="49"/>
    </row>
    <row r="49" spans="2:24" s="17" customFormat="1" x14ac:dyDescent="0.45">
      <c r="B49" s="14"/>
      <c r="C49" s="14"/>
      <c r="D49" s="14"/>
      <c r="E49" s="14"/>
      <c r="F49" s="14"/>
      <c r="G49" s="14"/>
      <c r="H49" s="14"/>
      <c r="I49" s="14"/>
      <c r="J49" s="16"/>
      <c r="K49" s="14"/>
      <c r="L49" s="14"/>
      <c r="M49" s="14"/>
      <c r="N49" s="132"/>
      <c r="O49" s="132"/>
      <c r="P49" s="132"/>
      <c r="Q49" s="132"/>
      <c r="R49" s="131"/>
      <c r="S49" s="129"/>
      <c r="T49" s="49"/>
      <c r="U49" s="49"/>
      <c r="V49" s="49"/>
      <c r="W49" s="49"/>
      <c r="X49" s="49"/>
    </row>
    <row r="50" spans="2:24" s="3" customFormat="1" x14ac:dyDescent="0.45">
      <c r="B50" s="17"/>
      <c r="C50" s="17"/>
      <c r="D50" s="17"/>
      <c r="G50" s="17"/>
      <c r="H50" s="17"/>
      <c r="J50" s="16"/>
      <c r="K50" s="16"/>
      <c r="L50" s="16"/>
      <c r="N50" s="129"/>
      <c r="O50" s="129"/>
      <c r="P50" s="129"/>
      <c r="Q50" s="129"/>
      <c r="R50" s="131"/>
      <c r="S50" s="134"/>
      <c r="T50" s="53"/>
      <c r="U50" s="53"/>
      <c r="V50" s="53"/>
      <c r="W50" s="53"/>
      <c r="X50" s="49"/>
    </row>
    <row r="51" spans="2:24" s="3" customFormat="1" x14ac:dyDescent="0.45">
      <c r="N51" s="129"/>
      <c r="O51" s="129"/>
      <c r="P51" s="129"/>
      <c r="Q51" s="129"/>
      <c r="R51" s="131"/>
      <c r="S51" s="134"/>
      <c r="T51" s="53"/>
      <c r="U51" s="53"/>
      <c r="V51" s="53"/>
      <c r="W51" s="53"/>
      <c r="X51" s="49"/>
    </row>
    <row r="52" spans="2:24" s="3" customFormat="1" x14ac:dyDescent="0.45">
      <c r="N52" s="129"/>
      <c r="O52" s="129"/>
      <c r="P52" s="129"/>
      <c r="Q52" s="129"/>
      <c r="R52" s="131"/>
      <c r="S52" s="134"/>
      <c r="T52" s="53"/>
      <c r="U52" s="53"/>
      <c r="V52" s="53"/>
      <c r="W52" s="53"/>
      <c r="X52" s="49"/>
    </row>
  </sheetData>
  <pageMargins left="0" right="0" top="1" bottom="0.5" header="0.5" footer="0.5"/>
  <pageSetup scale="94" fitToHeight="2" orientation="landscape" horizont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6161-9D9E-49D2-9FC4-ECCEF9E7968F}">
  <sheetPr>
    <pageSetUpPr fitToPage="1"/>
  </sheetPr>
  <dimension ref="A1:T51"/>
  <sheetViews>
    <sheetView showGridLines="0" tabSelected="1" zoomScaleNormal="100" workbookViewId="0">
      <selection activeCell="C43" sqref="C43"/>
    </sheetView>
  </sheetViews>
  <sheetFormatPr defaultColWidth="11.41015625" defaultRowHeight="13" x14ac:dyDescent="0.45"/>
  <cols>
    <col min="1" max="1" width="9.5859375" style="21" customWidth="1"/>
    <col min="2" max="2" width="14.1171875" style="21" customWidth="1"/>
    <col min="3" max="3" width="5.703125" style="21" bestFit="1" customWidth="1"/>
    <col min="4" max="4" width="13.87890625" style="21" customWidth="1"/>
    <col min="5" max="5" width="5.703125" style="21" bestFit="1" customWidth="1"/>
    <col min="6" max="6" width="10.5859375" style="21" customWidth="1"/>
    <col min="7" max="7" width="45.41015625" style="21" customWidth="1"/>
    <col min="8" max="8" width="7.41015625" style="25" bestFit="1" customWidth="1"/>
    <col min="9" max="9" width="38.41015625" style="25" hidden="1" customWidth="1"/>
    <col min="10" max="10" width="22.41015625" style="121" hidden="1" customWidth="1"/>
    <col min="11" max="11" width="13.29296875" style="121" hidden="1" customWidth="1"/>
    <col min="12" max="12" width="64.87890625" style="121" hidden="1" customWidth="1"/>
    <col min="13" max="13" width="8.29296875" style="121" hidden="1" customWidth="1"/>
    <col min="14" max="14" width="27.5859375" style="128" hidden="1" customWidth="1"/>
    <col min="15" max="15" width="43.87890625" style="124" hidden="1" customWidth="1"/>
    <col min="16" max="16" width="25.703125" style="62" hidden="1" customWidth="1"/>
    <col min="17" max="17" width="6.5859375" style="62" hidden="1" customWidth="1"/>
    <col min="18" max="18" width="45.5859375" style="62" hidden="1" customWidth="1"/>
    <col min="19" max="19" width="8.5859375" style="47" hidden="1" customWidth="1"/>
    <col min="20" max="20" width="27.5859375" style="47" hidden="1" customWidth="1"/>
    <col min="21" max="16384" width="11.41015625" style="21"/>
  </cols>
  <sheetData>
    <row r="1" spans="1:20" x14ac:dyDescent="0.45">
      <c r="A1" s="21" t="s">
        <v>138</v>
      </c>
      <c r="J1" s="119" t="s">
        <v>185</v>
      </c>
      <c r="K1" s="173">
        <v>45536</v>
      </c>
      <c r="L1" s="184"/>
      <c r="M1" s="184"/>
      <c r="N1" s="184"/>
      <c r="O1" s="184"/>
    </row>
    <row r="2" spans="1:20" x14ac:dyDescent="0.45">
      <c r="A2" s="72" t="s">
        <v>186</v>
      </c>
      <c r="B2" s="72"/>
      <c r="J2" s="177" t="s">
        <v>187</v>
      </c>
      <c r="K2" s="176" t="str">
        <f>"Data"&amp;VLOOKUP(MONTH(K1),Months,2,0)&amp;YEAR(K1)</f>
        <v>DataSep2024</v>
      </c>
      <c r="L2" s="184"/>
      <c r="M2" s="184"/>
      <c r="N2" s="184"/>
      <c r="O2" s="184"/>
    </row>
    <row r="3" spans="1:20" ht="13.2" customHeight="1" x14ac:dyDescent="0.45">
      <c r="A3" s="19" t="s">
        <v>188</v>
      </c>
      <c r="B3" s="151">
        <v>45658</v>
      </c>
      <c r="C3" s="152">
        <v>0.04</v>
      </c>
      <c r="D3" s="19" t="s">
        <v>189</v>
      </c>
      <c r="E3" s="153"/>
      <c r="F3" s="18"/>
      <c r="G3" s="19"/>
      <c r="H3" s="18"/>
      <c r="I3" s="20"/>
      <c r="J3" s="176" t="str">
        <f>"IncrPerc"&amp;VLOOKUP(MONTH(B3),Months,2,0)&amp;YEAR(B3)</f>
        <v>IncrPercJan2025</v>
      </c>
      <c r="K3" s="172">
        <f>(C3+1)*(E3+1)</f>
        <v>1.04</v>
      </c>
      <c r="L3" s="176"/>
      <c r="M3" s="176"/>
      <c r="N3" s="176"/>
      <c r="O3" s="176"/>
    </row>
    <row r="4" spans="1:20" ht="13.2" customHeight="1" x14ac:dyDescent="0.45">
      <c r="A4" s="22" t="s">
        <v>231</v>
      </c>
      <c r="B4" s="22"/>
      <c r="C4" s="18"/>
      <c r="D4" s="18"/>
      <c r="F4" s="18"/>
      <c r="G4" s="19"/>
      <c r="H4" s="18"/>
      <c r="I4" s="20"/>
      <c r="J4" s="121" t="s">
        <v>190</v>
      </c>
      <c r="K4" s="145">
        <v>0</v>
      </c>
      <c r="L4" s="185"/>
      <c r="M4" s="185"/>
      <c r="N4" s="185"/>
      <c r="O4" s="185"/>
    </row>
    <row r="5" spans="1:20" ht="13.2" customHeight="1" x14ac:dyDescent="0.45">
      <c r="B5" s="22"/>
      <c r="C5" s="18"/>
      <c r="D5" s="18"/>
      <c r="F5" s="18"/>
      <c r="G5" s="19"/>
      <c r="H5" s="18"/>
      <c r="I5" s="20"/>
      <c r="J5" s="177"/>
      <c r="K5" s="124"/>
      <c r="L5" s="186"/>
      <c r="M5" s="186"/>
      <c r="N5" s="186"/>
      <c r="O5" s="186"/>
    </row>
    <row r="6" spans="1:20" ht="13.2" customHeight="1" x14ac:dyDescent="0.45">
      <c r="A6" s="18"/>
      <c r="B6" s="18"/>
      <c r="C6" s="19"/>
      <c r="D6" s="18"/>
      <c r="E6" s="18"/>
      <c r="F6" s="18"/>
      <c r="G6" s="19"/>
      <c r="H6" s="18"/>
      <c r="I6" s="20"/>
      <c r="L6" s="125"/>
    </row>
    <row r="7" spans="1:20" ht="13.2" customHeight="1" x14ac:dyDescent="0.45">
      <c r="A7" s="18"/>
      <c r="B7" s="18" t="s">
        <v>191</v>
      </c>
      <c r="C7" s="22"/>
      <c r="D7" s="18" t="s">
        <v>145</v>
      </c>
      <c r="E7" s="18" t="s">
        <v>147</v>
      </c>
      <c r="F7" s="18" t="s">
        <v>192</v>
      </c>
      <c r="G7" s="18"/>
      <c r="H7" s="18"/>
      <c r="I7" s="20"/>
      <c r="J7" s="154" t="s">
        <v>148</v>
      </c>
      <c r="L7" s="126"/>
      <c r="M7" s="126"/>
      <c r="N7" s="126"/>
      <c r="P7" s="165" t="s">
        <v>149</v>
      </c>
    </row>
    <row r="8" spans="1:20" ht="13.2" customHeight="1" x14ac:dyDescent="0.45">
      <c r="A8" s="36" t="s">
        <v>152</v>
      </c>
      <c r="B8" s="39" t="s">
        <v>154</v>
      </c>
      <c r="C8" s="36" t="s">
        <v>43</v>
      </c>
      <c r="D8" s="36" t="s">
        <v>150</v>
      </c>
      <c r="E8" s="36" t="s">
        <v>155</v>
      </c>
      <c r="F8" s="36" t="s">
        <v>154</v>
      </c>
      <c r="G8" s="37" t="s">
        <v>153</v>
      </c>
      <c r="H8" s="36" t="s">
        <v>50</v>
      </c>
      <c r="I8" s="20"/>
      <c r="J8" s="158" t="s">
        <v>152</v>
      </c>
      <c r="K8" s="158" t="s">
        <v>156</v>
      </c>
      <c r="L8" s="159" t="s">
        <v>153</v>
      </c>
      <c r="M8" s="158" t="s">
        <v>157</v>
      </c>
      <c r="N8" s="160" t="s">
        <v>158</v>
      </c>
      <c r="O8" s="161"/>
      <c r="P8" s="162" t="s">
        <v>152</v>
      </c>
      <c r="Q8" s="162" t="s">
        <v>156</v>
      </c>
      <c r="R8" s="163" t="s">
        <v>153</v>
      </c>
      <c r="S8" s="162" t="s">
        <v>157</v>
      </c>
      <c r="T8" s="164" t="s">
        <v>158</v>
      </c>
    </row>
    <row r="9" spans="1:20" ht="13.2" customHeight="1" x14ac:dyDescent="0.45">
      <c r="A9" s="25" t="s">
        <v>53</v>
      </c>
      <c r="B9" s="25">
        <v>6</v>
      </c>
      <c r="C9" s="25" t="s">
        <v>51</v>
      </c>
      <c r="D9" s="25">
        <v>2</v>
      </c>
      <c r="E9" s="25" t="s">
        <v>55</v>
      </c>
      <c r="F9" s="42" t="s">
        <v>52</v>
      </c>
      <c r="G9" s="22" t="s">
        <v>54</v>
      </c>
      <c r="H9" s="67">
        <f ca="1">N9</f>
        <v>56.009316381570045</v>
      </c>
      <c r="I9" s="20"/>
      <c r="J9" s="125" t="str">
        <f>A9</f>
        <v>03860C</v>
      </c>
      <c r="K9" s="125" t="s">
        <v>160</v>
      </c>
      <c r="L9" s="177" t="str">
        <f>G9</f>
        <v>Electrician</v>
      </c>
      <c r="M9" s="125" t="str">
        <f>F9</f>
        <v>01</v>
      </c>
      <c r="N9" s="130" cm="1">
        <f t="array" aca="1" ref="N9" ca="1">IF(K9="Y",VLOOKUP(J9,INDIRECT($K$2),5,0)*INDIRECT($J$3)+$K$4,VLOOKUP(J9,INDIRECT($K$2),5,0))</f>
        <v>56.009316381570045</v>
      </c>
      <c r="O9" s="135"/>
      <c r="P9" s="62" t="str">
        <f t="shared" ref="P9:S13" si="0">J9</f>
        <v>03860C</v>
      </c>
      <c r="Q9" s="62" t="str">
        <f t="shared" si="0"/>
        <v>Y</v>
      </c>
      <c r="R9" s="62" t="str">
        <f t="shared" si="0"/>
        <v>Electrician</v>
      </c>
      <c r="S9" s="47" t="str">
        <f t="shared" si="0"/>
        <v>01</v>
      </c>
      <c r="T9" s="48">
        <f ca="1">ROUND(N9,3)</f>
        <v>56.009</v>
      </c>
    </row>
    <row r="10" spans="1:20" ht="13.2" customHeight="1" x14ac:dyDescent="0.45">
      <c r="A10" s="25" t="s">
        <v>57</v>
      </c>
      <c r="B10" s="25">
        <v>8</v>
      </c>
      <c r="C10" s="25" t="s">
        <v>51</v>
      </c>
      <c r="D10" s="25">
        <v>2</v>
      </c>
      <c r="E10" s="25" t="s">
        <v>55</v>
      </c>
      <c r="F10" s="42" t="s">
        <v>56</v>
      </c>
      <c r="G10" s="22" t="s">
        <v>58</v>
      </c>
      <c r="H10" s="67">
        <f ca="1">N10</f>
        <v>59.409766144453883</v>
      </c>
      <c r="I10" s="20"/>
      <c r="J10" s="125" t="str">
        <f>A10</f>
        <v>04600C</v>
      </c>
      <c r="K10" s="125" t="s">
        <v>160</v>
      </c>
      <c r="L10" s="177" t="str">
        <f>G10</f>
        <v>Foreman, Electrician</v>
      </c>
      <c r="M10" s="125" t="str">
        <f>F10</f>
        <v>02</v>
      </c>
      <c r="N10" s="130" cm="1">
        <f t="array" aca="1" ref="N10" ca="1">IF(K10="Y",VLOOKUP(J10,INDIRECT($K$2),5,0)*INDIRECT($J$3)+$K$4,VLOOKUP(J10,INDIRECT($K$2),5,0))</f>
        <v>59.409766144453883</v>
      </c>
      <c r="O10" s="135"/>
      <c r="P10" s="62" t="str">
        <f t="shared" si="0"/>
        <v>04600C</v>
      </c>
      <c r="Q10" s="62" t="str">
        <f t="shared" si="0"/>
        <v>Y</v>
      </c>
      <c r="R10" s="62" t="str">
        <f t="shared" si="0"/>
        <v>Foreman, Electrician</v>
      </c>
      <c r="S10" s="47" t="str">
        <f t="shared" si="0"/>
        <v>02</v>
      </c>
      <c r="T10" s="48">
        <f t="shared" ref="T10:T11" ca="1" si="1">ROUND(N10,3)</f>
        <v>59.41</v>
      </c>
    </row>
    <row r="11" spans="1:20" ht="13.2" customHeight="1" x14ac:dyDescent="0.45">
      <c r="A11" s="25" t="s">
        <v>60</v>
      </c>
      <c r="B11" s="25">
        <v>8</v>
      </c>
      <c r="C11" s="25" t="s">
        <v>51</v>
      </c>
      <c r="D11" s="25">
        <v>2</v>
      </c>
      <c r="E11" s="25" t="s">
        <v>55</v>
      </c>
      <c r="F11" s="42" t="s">
        <v>59</v>
      </c>
      <c r="G11" s="22" t="s">
        <v>61</v>
      </c>
      <c r="H11" s="67">
        <f ca="1">N11</f>
        <v>61.110094232129136</v>
      </c>
      <c r="I11" s="20"/>
      <c r="J11" s="125" t="str">
        <f>A11</f>
        <v>04605C</v>
      </c>
      <c r="K11" s="125" t="s">
        <v>160</v>
      </c>
      <c r="L11" s="177" t="str">
        <f>G11</f>
        <v xml:space="preserve">Foreman, (Master) Electrician </v>
      </c>
      <c r="M11" s="125" t="str">
        <f>F11</f>
        <v>03</v>
      </c>
      <c r="N11" s="130" cm="1">
        <f t="array" aca="1" ref="N11" ca="1">IF(K11="Y",VLOOKUP(J11,INDIRECT($K$2),5,0)*INDIRECT($J$3)+$K$4,VLOOKUP(J11,INDIRECT($K$2),5,0))</f>
        <v>61.110094232129136</v>
      </c>
      <c r="O11" s="135"/>
      <c r="P11" s="62" t="str">
        <f t="shared" si="0"/>
        <v>04605C</v>
      </c>
      <c r="Q11" s="62" t="str">
        <f t="shared" si="0"/>
        <v>Y</v>
      </c>
      <c r="R11" s="62" t="str">
        <f t="shared" si="0"/>
        <v xml:space="preserve">Foreman, (Master) Electrician </v>
      </c>
      <c r="S11" s="47" t="str">
        <f t="shared" si="0"/>
        <v>03</v>
      </c>
      <c r="T11" s="48">
        <f t="shared" ca="1" si="1"/>
        <v>61.11</v>
      </c>
    </row>
    <row r="12" spans="1:20" ht="13.2" customHeight="1" x14ac:dyDescent="0.45">
      <c r="A12" s="25" t="s">
        <v>63</v>
      </c>
      <c r="B12" s="25">
        <v>10</v>
      </c>
      <c r="C12" s="25" t="s">
        <v>51</v>
      </c>
      <c r="D12" s="25">
        <v>2</v>
      </c>
      <c r="E12" s="25" t="s">
        <v>55</v>
      </c>
      <c r="F12" s="42" t="s">
        <v>62</v>
      </c>
      <c r="G12" s="22" t="s">
        <v>64</v>
      </c>
      <c r="H12" s="67">
        <f ca="1">N12</f>
        <v>62.810422319804424</v>
      </c>
      <c r="I12" s="20"/>
      <c r="J12" s="125" t="str">
        <f>A12</f>
        <v>05140C</v>
      </c>
      <c r="K12" s="125" t="s">
        <v>160</v>
      </c>
      <c r="L12" s="156" t="str">
        <f>G12</f>
        <v>*General Foreman, Electrician</v>
      </c>
      <c r="M12" s="155" t="str">
        <f>F12</f>
        <v>CSU N42</v>
      </c>
      <c r="N12" s="167" cm="1">
        <f t="array" aca="1" ref="N12" ca="1">IF(K12="Y",VLOOKUP(J12,INDIRECT($K$2),5,0)*INDIRECT($J$3),VLOOKUP(J12,INDIRECT($K$2),5,0))</f>
        <v>62.810422319804424</v>
      </c>
      <c r="O12" s="171"/>
      <c r="P12" s="62" t="str">
        <f>J12</f>
        <v>05140C</v>
      </c>
      <c r="Q12" s="62" t="str">
        <f t="shared" si="0"/>
        <v>Y</v>
      </c>
      <c r="R12" s="62" t="str">
        <f t="shared" si="0"/>
        <v>*General Foreman, Electrician</v>
      </c>
      <c r="S12" s="62" t="str">
        <f t="shared" si="0"/>
        <v>CSU N42</v>
      </c>
      <c r="T12" s="48">
        <f t="shared" ref="T12:T13" ca="1" si="2">N12</f>
        <v>62.810422319804424</v>
      </c>
    </row>
    <row r="13" spans="1:20" ht="13.2" customHeight="1" x14ac:dyDescent="0.45">
      <c r="A13" s="25" t="s">
        <v>99</v>
      </c>
      <c r="B13" s="25">
        <v>10</v>
      </c>
      <c r="C13" s="25" t="s">
        <v>51</v>
      </c>
      <c r="D13" s="25">
        <v>2</v>
      </c>
      <c r="E13" s="25" t="s">
        <v>55</v>
      </c>
      <c r="F13" s="42" t="s">
        <v>62</v>
      </c>
      <c r="G13" s="22" t="s">
        <v>100</v>
      </c>
      <c r="H13" s="67">
        <f ca="1">N13</f>
        <v>62.810422319804424</v>
      </c>
      <c r="I13" s="20"/>
      <c r="J13" s="121" t="s">
        <v>99</v>
      </c>
      <c r="K13" s="121" t="s">
        <v>160</v>
      </c>
      <c r="L13" s="156" t="str">
        <f>G13</f>
        <v>*Supervisor Water Plant Electrical and Control Systems</v>
      </c>
      <c r="M13" s="155" t="str">
        <f>F13</f>
        <v>CSU N42</v>
      </c>
      <c r="N13" s="167" cm="1">
        <f t="array" aca="1" ref="N13" ca="1">IF(K13="Y",VLOOKUP(J13,INDIRECT($K$2),5,0)*INDIRECT($J$3),VLOOKUP(J13,INDIRECT($K$2),5,0))</f>
        <v>62.810422319804424</v>
      </c>
      <c r="O13" s="171"/>
      <c r="P13" s="62" t="str">
        <f>J13</f>
        <v>10375C</v>
      </c>
      <c r="Q13" s="62" t="str">
        <f t="shared" si="0"/>
        <v>Y</v>
      </c>
      <c r="R13" s="62" t="str">
        <f t="shared" si="0"/>
        <v>*Supervisor Water Plant Electrical and Control Systems</v>
      </c>
      <c r="S13" s="62" t="str">
        <f t="shared" si="0"/>
        <v>CSU N42</v>
      </c>
      <c r="T13" s="48">
        <f t="shared" ca="1" si="2"/>
        <v>62.810422319804424</v>
      </c>
    </row>
    <row r="14" spans="1:20" ht="13.2" customHeight="1" x14ac:dyDescent="0.45">
      <c r="A14" s="25"/>
      <c r="B14" s="25"/>
      <c r="C14" s="25"/>
      <c r="D14" s="25"/>
      <c r="F14" s="25"/>
      <c r="G14" s="22"/>
      <c r="I14" s="20"/>
      <c r="J14" s="125"/>
      <c r="K14" s="125"/>
      <c r="L14" s="157" t="s">
        <v>232</v>
      </c>
      <c r="M14" s="166"/>
      <c r="N14" s="167"/>
      <c r="O14" s="166"/>
    </row>
    <row r="15" spans="1:20" ht="13.2" customHeight="1" x14ac:dyDescent="0.45">
      <c r="A15" s="18"/>
      <c r="B15" s="18"/>
      <c r="C15" s="18"/>
      <c r="D15" s="18"/>
      <c r="E15" s="32"/>
      <c r="F15" s="22" t="s">
        <v>101</v>
      </c>
      <c r="H15" s="18"/>
      <c r="I15" s="20"/>
      <c r="J15" s="125"/>
      <c r="K15" s="125"/>
      <c r="L15" s="125"/>
      <c r="M15" s="125"/>
    </row>
    <row r="16" spans="1:20" ht="13.2" customHeight="1" x14ac:dyDescent="0.45">
      <c r="A16" s="1" t="s">
        <v>66</v>
      </c>
      <c r="E16" s="2"/>
      <c r="H16" s="2"/>
      <c r="I16" s="3"/>
      <c r="J16" s="129"/>
      <c r="K16" s="129"/>
      <c r="L16" s="129"/>
      <c r="M16" s="129"/>
      <c r="N16" s="130"/>
    </row>
    <row r="17" spans="1:20" ht="13.2" customHeight="1" x14ac:dyDescent="0.45">
      <c r="A17" s="8" t="s">
        <v>67</v>
      </c>
      <c r="H17" s="6"/>
      <c r="I17" s="3"/>
      <c r="J17" s="129"/>
      <c r="K17" s="129"/>
      <c r="L17" s="129"/>
      <c r="M17" s="129"/>
      <c r="N17" s="130"/>
    </row>
    <row r="18" spans="1:20" ht="13.2" customHeight="1" x14ac:dyDescent="0.45">
      <c r="A18" s="144">
        <f ca="1">N18</f>
        <v>0.3222867058841653</v>
      </c>
      <c r="B18" s="5" t="s">
        <v>68</v>
      </c>
      <c r="I18" s="12"/>
      <c r="J18" s="129" t="s">
        <v>69</v>
      </c>
      <c r="K18" s="129" t="s">
        <v>160</v>
      </c>
      <c r="L18" s="124" t="s">
        <v>102</v>
      </c>
      <c r="M18" s="130"/>
      <c r="N18" s="130" cm="1">
        <f t="array" aca="1" ref="N18" ca="1">IF(K18="Y",VLOOKUP(J18,INDIRECT($K$2),5,0)*INDIRECT($J$3),VLOOKUP(J18,INDIRECT($K$2),5,0))</f>
        <v>0.3222867058841653</v>
      </c>
      <c r="P18" s="62" t="str">
        <f t="shared" ref="P18:R21" si="3">J18</f>
        <v>LNG10</v>
      </c>
      <c r="Q18" s="62" t="str">
        <f t="shared" si="3"/>
        <v>Y</v>
      </c>
      <c r="R18" s="62" t="str">
        <f t="shared" si="3"/>
        <v>Longevity - 10 years</v>
      </c>
      <c r="T18" s="48">
        <f t="shared" ref="T18:T21" ca="1" si="4">ROUND(N18,3)</f>
        <v>0.32200000000000001</v>
      </c>
    </row>
    <row r="19" spans="1:20" ht="13.2" customHeight="1" x14ac:dyDescent="0.45">
      <c r="A19" s="144">
        <f ca="1">N19</f>
        <v>0.44529689896972463</v>
      </c>
      <c r="B19" s="5" t="s">
        <v>70</v>
      </c>
      <c r="I19" s="12"/>
      <c r="J19" s="129" t="s">
        <v>71</v>
      </c>
      <c r="K19" s="129" t="s">
        <v>160</v>
      </c>
      <c r="L19" s="124" t="s">
        <v>103</v>
      </c>
      <c r="M19" s="130"/>
      <c r="N19" s="130" cm="1">
        <f t="array" aca="1" ref="N19" ca="1">IF(K19="Y",VLOOKUP(J19,INDIRECT($K$2),5,0)*INDIRECT($J$3),VLOOKUP(J19,INDIRECT($K$2),5,0))</f>
        <v>0.44529689896972463</v>
      </c>
      <c r="P19" s="62" t="str">
        <f t="shared" si="3"/>
        <v>LNG15</v>
      </c>
      <c r="Q19" s="62" t="str">
        <f t="shared" si="3"/>
        <v>Y</v>
      </c>
      <c r="R19" s="62" t="str">
        <f t="shared" si="3"/>
        <v>Longevity - 15 years</v>
      </c>
      <c r="T19" s="48">
        <f t="shared" ca="1" si="4"/>
        <v>0.44500000000000001</v>
      </c>
    </row>
    <row r="20" spans="1:20" ht="13.2" customHeight="1" x14ac:dyDescent="0.45">
      <c r="A20" s="144">
        <f ca="1">N20</f>
        <v>0.70976881410367698</v>
      </c>
      <c r="B20" s="5" t="s">
        <v>72</v>
      </c>
      <c r="I20" s="12"/>
      <c r="J20" s="129" t="s">
        <v>73</v>
      </c>
      <c r="K20" s="129" t="s">
        <v>160</v>
      </c>
      <c r="L20" s="124" t="s">
        <v>104</v>
      </c>
      <c r="M20" s="130"/>
      <c r="N20" s="130" cm="1">
        <f t="array" aca="1" ref="N20" ca="1">IF(K20="Y",VLOOKUP(J20,INDIRECT($K$2),5,0)*INDIRECT($J$3),VLOOKUP(J20,INDIRECT($K$2),5,0))</f>
        <v>0.70976881410367698</v>
      </c>
      <c r="P20" s="62" t="str">
        <f t="shared" si="3"/>
        <v>LNG20</v>
      </c>
      <c r="Q20" s="62" t="str">
        <f t="shared" si="3"/>
        <v>Y</v>
      </c>
      <c r="R20" s="62" t="str">
        <f t="shared" si="3"/>
        <v>Longevity - 20 years</v>
      </c>
      <c r="T20" s="48">
        <f t="shared" ca="1" si="4"/>
        <v>0.71</v>
      </c>
    </row>
    <row r="21" spans="1:20" ht="13.2" customHeight="1" x14ac:dyDescent="0.45">
      <c r="A21" s="144">
        <f ca="1">N21</f>
        <v>1.0640381701900878</v>
      </c>
      <c r="B21" s="5" t="s">
        <v>74</v>
      </c>
      <c r="I21" s="12"/>
      <c r="J21" s="129" t="s">
        <v>75</v>
      </c>
      <c r="K21" s="129" t="s">
        <v>160</v>
      </c>
      <c r="L21" s="124" t="s">
        <v>105</v>
      </c>
      <c r="M21" s="130"/>
      <c r="N21" s="130" cm="1">
        <f t="array" aca="1" ref="N21" ca="1">IF(K21="Y",VLOOKUP(J21,INDIRECT($K$2),5,0)*INDIRECT($J$3),VLOOKUP(J21,INDIRECT($K$2),5,0))</f>
        <v>1.0640381701900878</v>
      </c>
      <c r="P21" s="62" t="str">
        <f t="shared" si="3"/>
        <v>LNG25</v>
      </c>
      <c r="Q21" s="62" t="str">
        <f t="shared" si="3"/>
        <v>Y</v>
      </c>
      <c r="R21" s="62" t="str">
        <f t="shared" si="3"/>
        <v>Longevity - 25 years</v>
      </c>
      <c r="T21" s="48">
        <f t="shared" ca="1" si="4"/>
        <v>1.0640000000000001</v>
      </c>
    </row>
    <row r="22" spans="1:20" ht="13.2" customHeight="1" x14ac:dyDescent="0.45"/>
    <row r="23" spans="1:20" ht="13.2" customHeight="1" x14ac:dyDescent="0.45">
      <c r="A23" s="1" t="s">
        <v>76</v>
      </c>
    </row>
    <row r="24" spans="1:20" ht="13.2" customHeight="1" x14ac:dyDescent="0.45">
      <c r="A24" s="46" t="str">
        <f ca="1">"Provided that a night shift differential of "&amp;TEXT(N24,"$#.000")&amp;" per hour for each hour, or fraction thereof, they"</f>
        <v>Provided that a night shift differential of $2.612 per hour for each hour, or fraction thereof, they</v>
      </c>
      <c r="H24" s="19"/>
      <c r="J24" s="121" t="s">
        <v>79</v>
      </c>
      <c r="K24" s="129" t="s">
        <v>160</v>
      </c>
      <c r="L24" s="124" t="s">
        <v>106</v>
      </c>
      <c r="M24" s="129"/>
      <c r="N24" s="130" cm="1">
        <f t="array" aca="1" ref="N24" ca="1">IF(K24="Y",VLOOKUP(J24,INDIRECT($K$2),5,0)*INDIRECT($J$3),VLOOKUP(J24,INDIRECT($K$2),5,0))</f>
        <v>2.6117039865201854</v>
      </c>
      <c r="P24" s="62" t="str">
        <f t="shared" ref="P24:R25" si="5">J24</f>
        <v>CELEVE</v>
      </c>
      <c r="Q24" s="62" t="str">
        <f t="shared" si="5"/>
        <v>Y</v>
      </c>
      <c r="R24" s="62" t="str">
        <f t="shared" si="5"/>
        <v>TL-Evening Shift Premium-CEL</v>
      </c>
      <c r="T24" s="48">
        <f t="shared" ref="T24:T25" ca="1" si="6">ROUND(N24,3)</f>
        <v>2.6120000000000001</v>
      </c>
    </row>
    <row r="25" spans="1:20" ht="13.2" customHeight="1" x14ac:dyDescent="0.45">
      <c r="A25" s="46" t="s">
        <v>80</v>
      </c>
      <c r="J25" s="121" t="s">
        <v>81</v>
      </c>
      <c r="K25" s="129" t="s">
        <v>160</v>
      </c>
      <c r="L25" s="124" t="s">
        <v>107</v>
      </c>
      <c r="M25" s="129"/>
      <c r="N25" s="130" cm="1">
        <f t="array" aca="1" ref="N25" ca="1">IF(K25="Y",VLOOKUP(J25,INDIRECT($K$2),5,0)*INDIRECT($J$3),VLOOKUP(J25,INDIRECT($K$2),5,0))</f>
        <v>2.6117039865201854</v>
      </c>
      <c r="P25" s="62" t="str">
        <f t="shared" si="5"/>
        <v>CELSGT</v>
      </c>
      <c r="Q25" s="62" t="str">
        <f t="shared" si="5"/>
        <v>Y</v>
      </c>
      <c r="R25" s="62" t="str">
        <f t="shared" si="5"/>
        <v>TL-Signal Truck Premium-CEL</v>
      </c>
      <c r="T25" s="48">
        <f t="shared" ca="1" si="6"/>
        <v>2.6120000000000001</v>
      </c>
    </row>
    <row r="26" spans="1:20" ht="13.2" customHeight="1" x14ac:dyDescent="0.45">
      <c r="A26" s="46" t="s">
        <v>82</v>
      </c>
    </row>
    <row r="27" spans="1:20" ht="13.2" customHeight="1" x14ac:dyDescent="0.45">
      <c r="A27" s="46"/>
    </row>
    <row r="28" spans="1:20" ht="13.2" customHeight="1" x14ac:dyDescent="0.45">
      <c r="A28" s="46" t="str">
        <f ca="1">"Provided that a weekend shift differential of "&amp;TEXT(N28,"$#.000")&amp;" per hour shall be paid to employees who work"</f>
        <v>Provided that a weekend shift differential of $1.771 per hour shall be paid to employees who work</v>
      </c>
      <c r="H28" s="19"/>
      <c r="J28" s="121" t="s">
        <v>85</v>
      </c>
      <c r="K28" s="129" t="s">
        <v>160</v>
      </c>
      <c r="L28" s="124" t="s">
        <v>108</v>
      </c>
      <c r="M28" s="129"/>
      <c r="N28" s="130" cm="1">
        <f t="array" aca="1" ref="N28" ca="1">IF(K28="Y",VLOOKUP(J28,INDIRECT($K$2),5,0)*INDIRECT($J$3),VLOOKUP(J28,INDIRECT($K$2),5,0))</f>
        <v>1.7708779962743417</v>
      </c>
      <c r="P28" s="62" t="str">
        <f>J28</f>
        <v>CELWKE</v>
      </c>
      <c r="Q28" s="62" t="str">
        <f>K28</f>
        <v>Y</v>
      </c>
      <c r="R28" s="62" t="str">
        <f>L28</f>
        <v>TL-Wkend Shift dif CEL</v>
      </c>
      <c r="T28" s="48">
        <f t="shared" ref="T28" ca="1" si="7">ROUND(N28,3)</f>
        <v>1.7709999999999999</v>
      </c>
    </row>
    <row r="29" spans="1:20" ht="13.2" customHeight="1" x14ac:dyDescent="0.45">
      <c r="A29" s="46" t="s">
        <v>86</v>
      </c>
    </row>
    <row r="30" spans="1:20" ht="13.2" customHeight="1" x14ac:dyDescent="0.45">
      <c r="G30" s="19"/>
    </row>
    <row r="31" spans="1:20" ht="13.2" customHeight="1" x14ac:dyDescent="0.45">
      <c r="A31" s="68" t="str">
        <f>"Provided that a premium of "&amp;TEXT(N31,"$#.000")&amp;" per hour shall be paid to employees for hours worked while performing welding work."</f>
        <v>Provided that a premium of $2.000 per hour shall be paid to employees for hours worked while performing welding work.</v>
      </c>
      <c r="B31" s="3"/>
      <c r="J31" s="129" t="s">
        <v>136</v>
      </c>
      <c r="K31" s="129" t="s">
        <v>160</v>
      </c>
      <c r="L31" s="124" t="s">
        <v>193</v>
      </c>
      <c r="M31" s="129"/>
      <c r="N31" s="130">
        <v>2</v>
      </c>
      <c r="P31" s="62" t="str">
        <f>J31</f>
        <v>CELWLD</v>
      </c>
      <c r="Q31" s="62" t="str">
        <f>K31</f>
        <v>Y</v>
      </c>
      <c r="R31" s="62" t="str">
        <f>L31</f>
        <v>Welding premium</v>
      </c>
      <c r="T31" s="48">
        <f t="shared" ref="T31" si="8">ROUND(N31,3)</f>
        <v>2</v>
      </c>
    </row>
    <row r="32" spans="1:20" ht="13.2" customHeight="1" x14ac:dyDescent="0.45">
      <c r="A32" s="68"/>
      <c r="B32" s="3"/>
      <c r="J32" s="129"/>
      <c r="K32" s="129"/>
      <c r="L32" s="129"/>
      <c r="M32" s="129"/>
      <c r="N32" s="130"/>
    </row>
    <row r="33" spans="1:20" s="12" customFormat="1" x14ac:dyDescent="0.45">
      <c r="A33" s="12" t="s">
        <v>109</v>
      </c>
      <c r="J33" s="129"/>
      <c r="K33" s="129"/>
      <c r="L33" s="124"/>
      <c r="M33" s="129"/>
      <c r="N33" s="145"/>
      <c r="O33" s="133"/>
      <c r="P33" s="62"/>
      <c r="Q33" s="62"/>
      <c r="R33" s="62"/>
      <c r="S33" s="47"/>
      <c r="T33" s="146"/>
    </row>
    <row r="34" spans="1:20" s="12" customFormat="1" x14ac:dyDescent="0.45">
      <c r="A34" s="68" t="s">
        <v>111</v>
      </c>
      <c r="J34" s="129"/>
      <c r="K34" s="129"/>
      <c r="L34" s="124"/>
      <c r="M34" s="129"/>
      <c r="N34" s="145"/>
      <c r="O34" s="133"/>
      <c r="P34" s="62"/>
      <c r="Q34" s="62"/>
      <c r="R34" s="62"/>
      <c r="S34" s="47"/>
      <c r="T34" s="146"/>
    </row>
    <row r="35" spans="1:20" s="3" customFormat="1" x14ac:dyDescent="0.45">
      <c r="A35" s="68" t="s">
        <v>113</v>
      </c>
      <c r="J35" s="129"/>
      <c r="K35" s="129"/>
      <c r="L35" s="149"/>
      <c r="M35" s="129"/>
      <c r="N35" s="131"/>
      <c r="O35" s="134"/>
      <c r="P35" s="53"/>
      <c r="Q35" s="53"/>
      <c r="R35" s="53"/>
      <c r="S35" s="49"/>
      <c r="T35" s="49"/>
    </row>
    <row r="36" spans="1:20" s="3" customFormat="1" x14ac:dyDescent="0.45">
      <c r="A36" s="68" t="s">
        <v>114</v>
      </c>
      <c r="J36" s="129"/>
      <c r="K36" s="129"/>
      <c r="L36" s="129"/>
      <c r="M36" s="129"/>
      <c r="N36" s="131"/>
      <c r="O36" s="134"/>
      <c r="P36" s="53"/>
      <c r="Q36" s="53"/>
      <c r="R36" s="53"/>
      <c r="S36" s="49"/>
      <c r="T36" s="49"/>
    </row>
    <row r="37" spans="1:20" s="3" customFormat="1" x14ac:dyDescent="0.45">
      <c r="A37" s="68" t="s">
        <v>115</v>
      </c>
      <c r="J37" s="134"/>
      <c r="K37" s="134"/>
      <c r="L37" s="129"/>
      <c r="M37" s="134"/>
      <c r="N37" s="131"/>
      <c r="O37" s="134"/>
      <c r="P37" s="53"/>
      <c r="Q37" s="53"/>
      <c r="R37" s="53"/>
      <c r="S37" s="49"/>
      <c r="T37" s="49"/>
    </row>
    <row r="38" spans="1:20" s="3" customFormat="1" x14ac:dyDescent="0.45">
      <c r="J38" s="129"/>
      <c r="K38" s="129"/>
      <c r="L38" s="134"/>
      <c r="M38" s="129"/>
      <c r="N38" s="131"/>
      <c r="O38" s="134"/>
      <c r="P38" s="53"/>
      <c r="Q38" s="53"/>
      <c r="R38" s="53"/>
      <c r="S38" s="49"/>
      <c r="T38" s="49"/>
    </row>
    <row r="39" spans="1:20" s="3" customFormat="1" x14ac:dyDescent="0.45">
      <c r="J39" s="129"/>
      <c r="K39" s="129"/>
      <c r="L39" s="129"/>
      <c r="M39" s="129"/>
      <c r="N39" s="131"/>
      <c r="O39" s="134"/>
      <c r="P39" s="53"/>
      <c r="Q39" s="53"/>
      <c r="R39" s="53"/>
      <c r="S39" s="49"/>
      <c r="T39" s="49"/>
    </row>
    <row r="40" spans="1:20" s="3" customFormat="1" x14ac:dyDescent="0.45">
      <c r="J40" s="129"/>
      <c r="K40" s="129"/>
      <c r="L40" s="129"/>
      <c r="M40" s="129"/>
      <c r="N40" s="131"/>
      <c r="O40" s="134"/>
      <c r="P40" s="53"/>
      <c r="Q40" s="53"/>
      <c r="R40" s="53"/>
      <c r="S40" s="49"/>
      <c r="T40" s="49"/>
    </row>
    <row r="41" spans="1:20" s="3" customFormat="1" x14ac:dyDescent="0.45">
      <c r="A41" s="3" t="s">
        <v>234</v>
      </c>
      <c r="H41" s="3" t="s">
        <v>162</v>
      </c>
      <c r="J41" s="129"/>
      <c r="K41" s="129"/>
      <c r="L41" s="129"/>
      <c r="M41" s="129"/>
      <c r="N41" s="131"/>
      <c r="O41" s="134"/>
      <c r="P41" s="53"/>
      <c r="Q41" s="53"/>
      <c r="R41" s="53"/>
      <c r="S41" s="49"/>
      <c r="T41" s="49"/>
    </row>
    <row r="42" spans="1:20" s="3" customFormat="1" x14ac:dyDescent="0.45">
      <c r="J42" s="129"/>
      <c r="K42" s="129"/>
      <c r="L42" s="129"/>
      <c r="M42" s="129"/>
      <c r="N42" s="131"/>
      <c r="O42" s="134"/>
      <c r="P42" s="53"/>
      <c r="Q42" s="53"/>
      <c r="R42" s="53"/>
      <c r="S42" s="49"/>
      <c r="T42" s="49"/>
    </row>
    <row r="43" spans="1:20" s="3" customFormat="1" x14ac:dyDescent="0.45">
      <c r="J43" s="129"/>
      <c r="K43" s="129"/>
      <c r="L43" s="129"/>
      <c r="M43" s="129"/>
      <c r="N43" s="131"/>
      <c r="O43" s="134"/>
      <c r="P43" s="53"/>
      <c r="Q43" s="53"/>
      <c r="R43" s="53"/>
      <c r="S43" s="49"/>
      <c r="T43" s="49"/>
    </row>
    <row r="44" spans="1:20" s="3" customFormat="1" x14ac:dyDescent="0.45">
      <c r="J44" s="129"/>
      <c r="K44" s="129"/>
      <c r="L44" s="129"/>
      <c r="M44" s="129"/>
      <c r="N44" s="131"/>
      <c r="O44" s="134"/>
      <c r="P44" s="53"/>
      <c r="Q44" s="53"/>
      <c r="R44" s="53"/>
      <c r="S44" s="49"/>
      <c r="T44" s="49"/>
    </row>
    <row r="45" spans="1:20" s="3" customFormat="1" x14ac:dyDescent="0.45">
      <c r="J45" s="129"/>
      <c r="K45" s="129"/>
      <c r="L45" s="129"/>
      <c r="M45" s="129"/>
      <c r="N45" s="131"/>
      <c r="O45" s="134"/>
      <c r="P45" s="53"/>
      <c r="Q45" s="53"/>
      <c r="R45" s="53"/>
      <c r="S45" s="49"/>
      <c r="T45" s="49"/>
    </row>
    <row r="46" spans="1:20" s="3" customFormat="1" x14ac:dyDescent="0.45">
      <c r="A46" s="15"/>
      <c r="B46" s="15"/>
      <c r="C46" s="29"/>
      <c r="D46" s="14"/>
      <c r="E46" s="14"/>
      <c r="F46" s="15"/>
      <c r="G46" s="14"/>
      <c r="H46" s="14"/>
      <c r="I46" s="14"/>
      <c r="J46" s="132"/>
      <c r="K46" s="132"/>
      <c r="L46" s="132"/>
      <c r="M46" s="132"/>
      <c r="N46" s="131"/>
      <c r="O46" s="134"/>
      <c r="P46" s="53"/>
      <c r="Q46" s="53"/>
      <c r="R46" s="53"/>
      <c r="S46" s="49"/>
      <c r="T46" s="49"/>
    </row>
    <row r="47" spans="1:20" s="3" customFormat="1" x14ac:dyDescent="0.45">
      <c r="A47" s="14"/>
      <c r="B47" s="14"/>
      <c r="C47" s="14"/>
      <c r="D47" s="14"/>
      <c r="E47" s="14"/>
      <c r="F47" s="14"/>
      <c r="G47" s="14"/>
      <c r="H47" s="14"/>
      <c r="I47" s="14"/>
      <c r="J47" s="132"/>
      <c r="K47" s="132"/>
      <c r="L47" s="132"/>
      <c r="M47" s="132"/>
      <c r="N47" s="131"/>
      <c r="O47" s="134"/>
      <c r="P47" s="53"/>
      <c r="Q47" s="53"/>
      <c r="R47" s="53"/>
      <c r="S47" s="49"/>
      <c r="T47" s="49"/>
    </row>
    <row r="48" spans="1:20" s="17" customFormat="1" x14ac:dyDescent="0.45">
      <c r="A48" s="14"/>
      <c r="B48" s="14"/>
      <c r="C48" s="14"/>
      <c r="D48" s="14"/>
      <c r="E48" s="14"/>
      <c r="F48" s="14"/>
      <c r="G48" s="14"/>
      <c r="H48" s="14"/>
      <c r="I48" s="14"/>
      <c r="J48" s="132"/>
      <c r="K48" s="132"/>
      <c r="L48" s="132"/>
      <c r="M48" s="132"/>
      <c r="N48" s="131"/>
      <c r="O48" s="129"/>
      <c r="P48" s="49"/>
      <c r="Q48" s="49"/>
      <c r="R48" s="49"/>
      <c r="S48" s="49"/>
      <c r="T48" s="49"/>
    </row>
    <row r="49" spans="3:20" s="3" customFormat="1" x14ac:dyDescent="0.45">
      <c r="C49" s="17"/>
      <c r="D49" s="17"/>
      <c r="E49" s="17"/>
      <c r="H49" s="17"/>
      <c r="J49" s="129"/>
      <c r="K49" s="129"/>
      <c r="L49" s="129"/>
      <c r="M49" s="129"/>
      <c r="N49" s="131"/>
      <c r="O49" s="134"/>
      <c r="P49" s="53"/>
      <c r="Q49" s="53"/>
      <c r="R49" s="53"/>
      <c r="S49" s="49"/>
      <c r="T49" s="49"/>
    </row>
    <row r="50" spans="3:20" s="3" customFormat="1" x14ac:dyDescent="0.45">
      <c r="J50" s="129"/>
      <c r="K50" s="129"/>
      <c r="L50" s="129"/>
      <c r="M50" s="129"/>
      <c r="N50" s="131"/>
      <c r="O50" s="134"/>
      <c r="P50" s="53"/>
      <c r="Q50" s="53"/>
      <c r="R50" s="53"/>
      <c r="S50" s="49"/>
      <c r="T50" s="49"/>
    </row>
    <row r="51" spans="3:20" s="3" customFormat="1" x14ac:dyDescent="0.45">
      <c r="J51" s="129"/>
      <c r="K51" s="129"/>
      <c r="L51" s="129"/>
      <c r="M51" s="129"/>
      <c r="N51" s="131"/>
      <c r="O51" s="134"/>
      <c r="P51" s="53"/>
      <c r="Q51" s="53"/>
      <c r="R51" s="53"/>
      <c r="S51" s="49"/>
      <c r="T51" s="49"/>
    </row>
  </sheetData>
  <sheetProtection sheet="1" objects="1" scenarios="1"/>
  <mergeCells count="4">
    <mergeCell ref="L1:O1"/>
    <mergeCell ref="L2:O2"/>
    <mergeCell ref="L4:O4"/>
    <mergeCell ref="L5:O5"/>
  </mergeCells>
  <pageMargins left="0" right="0" top="1" bottom="0.5" header="0.5" footer="0.5"/>
  <pageSetup scale="94" fitToHeight="2" orientation="landscape" horizont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A1B2-EDBE-4347-A09F-E18CCC2E88EB}">
  <sheetPr>
    <pageSetUpPr fitToPage="1"/>
  </sheetPr>
  <dimension ref="A1:T51"/>
  <sheetViews>
    <sheetView showGridLines="0" zoomScaleNormal="100" workbookViewId="0">
      <selection activeCell="E4" sqref="E4"/>
    </sheetView>
  </sheetViews>
  <sheetFormatPr defaultColWidth="11.41015625" defaultRowHeight="13" x14ac:dyDescent="0.45"/>
  <cols>
    <col min="1" max="1" width="9.5859375" style="21" customWidth="1"/>
    <col min="2" max="2" width="14.1171875" style="21" customWidth="1"/>
    <col min="3" max="3" width="5.703125" style="21" bestFit="1" customWidth="1"/>
    <col min="4" max="4" width="13.87890625" style="21" customWidth="1"/>
    <col min="5" max="5" width="5.703125" style="21" bestFit="1" customWidth="1"/>
    <col min="6" max="6" width="10.5859375" style="21" customWidth="1"/>
    <col min="7" max="7" width="45.41015625" style="21" customWidth="1"/>
    <col min="8" max="8" width="7.41015625" style="25" bestFit="1" customWidth="1"/>
    <col min="9" max="9" width="38.41015625" style="25" customWidth="1"/>
    <col min="10" max="10" width="22.41015625" style="121" hidden="1" customWidth="1"/>
    <col min="11" max="11" width="13.29296875" style="121" hidden="1" customWidth="1"/>
    <col min="12" max="12" width="64.87890625" style="121" hidden="1" customWidth="1"/>
    <col min="13" max="13" width="8.29296875" style="121" hidden="1" customWidth="1"/>
    <col min="14" max="14" width="27.5859375" style="128" hidden="1" customWidth="1"/>
    <col min="15" max="15" width="43.87890625" style="124" hidden="1" customWidth="1"/>
    <col min="16" max="16" width="25.703125" style="62" hidden="1" customWidth="1"/>
    <col min="17" max="17" width="6.5859375" style="62" hidden="1" customWidth="1"/>
    <col min="18" max="18" width="45.5859375" style="62" hidden="1" customWidth="1"/>
    <col min="19" max="19" width="8.5859375" style="47" hidden="1" customWidth="1"/>
    <col min="20" max="20" width="27.5859375" style="47" hidden="1" customWidth="1"/>
    <col min="21" max="16384" width="11.41015625" style="21"/>
  </cols>
  <sheetData>
    <row r="1" spans="1:20" x14ac:dyDescent="0.45">
      <c r="A1" s="21" t="s">
        <v>138</v>
      </c>
      <c r="J1" s="119" t="s">
        <v>185</v>
      </c>
      <c r="K1" s="173">
        <v>45658</v>
      </c>
      <c r="L1" s="184"/>
      <c r="M1" s="184"/>
      <c r="N1" s="184"/>
      <c r="O1" s="184"/>
    </row>
    <row r="2" spans="1:20" x14ac:dyDescent="0.45">
      <c r="A2" s="72" t="s">
        <v>186</v>
      </c>
      <c r="B2" s="72"/>
      <c r="J2" s="177" t="s">
        <v>187</v>
      </c>
      <c r="K2" s="176" t="str">
        <f>"Data"&amp;VLOOKUP(MONTH(K1),Months,2,0)&amp;YEAR(K1)</f>
        <v>DataJan2025</v>
      </c>
      <c r="L2" s="184"/>
      <c r="M2" s="184"/>
      <c r="N2" s="184"/>
      <c r="O2" s="184"/>
    </row>
    <row r="3" spans="1:20" ht="13.2" customHeight="1" x14ac:dyDescent="0.45">
      <c r="A3" s="19" t="s">
        <v>188</v>
      </c>
      <c r="B3" s="151">
        <v>45777</v>
      </c>
      <c r="C3" s="152"/>
      <c r="D3" s="19"/>
      <c r="E3" s="153"/>
      <c r="F3" s="18"/>
      <c r="G3" s="19" t="s">
        <v>194</v>
      </c>
      <c r="H3" s="18"/>
      <c r="I3" s="20"/>
      <c r="J3" s="176" t="str">
        <f>"IncrPerc"&amp;VLOOKUP(MONTH(B3),Months,2,0)&amp;YEAR(B3)</f>
        <v>IncrPercApr2025</v>
      </c>
      <c r="K3" s="172">
        <f>(C3+1)*(E3+1)</f>
        <v>1</v>
      </c>
      <c r="L3" s="176"/>
      <c r="M3" s="176"/>
      <c r="N3" s="176"/>
      <c r="O3" s="176"/>
    </row>
    <row r="4" spans="1:20" ht="13.2" customHeight="1" x14ac:dyDescent="0.45">
      <c r="A4" s="22" t="s">
        <v>231</v>
      </c>
      <c r="B4" s="22"/>
      <c r="C4" s="18"/>
      <c r="D4" s="18"/>
      <c r="F4" s="18"/>
      <c r="G4" s="19"/>
      <c r="H4" s="18"/>
      <c r="I4" s="20"/>
      <c r="J4" s="121" t="s">
        <v>190</v>
      </c>
      <c r="K4" s="145">
        <v>0.03</v>
      </c>
      <c r="L4" s="185"/>
      <c r="M4" s="185"/>
      <c r="N4" s="185"/>
      <c r="O4" s="185"/>
    </row>
    <row r="5" spans="1:20" ht="13.2" customHeight="1" x14ac:dyDescent="0.45">
      <c r="B5" s="22" t="s">
        <v>233</v>
      </c>
      <c r="C5" s="18"/>
      <c r="D5" s="18"/>
      <c r="F5" s="18"/>
      <c r="G5" s="19"/>
      <c r="H5" s="18"/>
      <c r="I5" s="20"/>
      <c r="J5" s="177"/>
      <c r="K5" s="124"/>
      <c r="L5" s="186"/>
      <c r="M5" s="186"/>
      <c r="N5" s="186"/>
      <c r="O5" s="186"/>
    </row>
    <row r="6" spans="1:20" ht="13.2" customHeight="1" x14ac:dyDescent="0.45">
      <c r="A6" s="18"/>
      <c r="B6" s="18"/>
      <c r="C6" s="19"/>
      <c r="D6" s="18"/>
      <c r="E6" s="18"/>
      <c r="F6" s="18"/>
      <c r="G6" s="19"/>
      <c r="H6" s="18"/>
      <c r="I6" s="20"/>
      <c r="L6" s="125"/>
    </row>
    <row r="7" spans="1:20" ht="13.2" customHeight="1" x14ac:dyDescent="0.45">
      <c r="A7" s="18"/>
      <c r="B7" s="18" t="s">
        <v>191</v>
      </c>
      <c r="C7" s="22"/>
      <c r="D7" s="18" t="s">
        <v>145</v>
      </c>
      <c r="E7" s="18" t="s">
        <v>147</v>
      </c>
      <c r="F7" s="18" t="s">
        <v>192</v>
      </c>
      <c r="G7" s="18"/>
      <c r="H7" s="18"/>
      <c r="I7" s="20"/>
      <c r="J7" s="154" t="s">
        <v>148</v>
      </c>
      <c r="L7" s="126"/>
      <c r="M7" s="126"/>
      <c r="N7" s="126"/>
      <c r="P7" s="165" t="s">
        <v>149</v>
      </c>
    </row>
    <row r="8" spans="1:20" ht="13.2" customHeight="1" x14ac:dyDescent="0.45">
      <c r="A8" s="36" t="s">
        <v>152</v>
      </c>
      <c r="B8" s="39" t="s">
        <v>154</v>
      </c>
      <c r="C8" s="36" t="s">
        <v>43</v>
      </c>
      <c r="D8" s="36" t="s">
        <v>150</v>
      </c>
      <c r="E8" s="36" t="s">
        <v>155</v>
      </c>
      <c r="F8" s="36" t="s">
        <v>154</v>
      </c>
      <c r="G8" s="37" t="s">
        <v>153</v>
      </c>
      <c r="H8" s="36" t="s">
        <v>50</v>
      </c>
      <c r="I8" s="20"/>
      <c r="J8" s="158" t="s">
        <v>152</v>
      </c>
      <c r="K8" s="158" t="s">
        <v>156</v>
      </c>
      <c r="L8" s="159" t="s">
        <v>153</v>
      </c>
      <c r="M8" s="158" t="s">
        <v>157</v>
      </c>
      <c r="N8" s="160" t="s">
        <v>158</v>
      </c>
      <c r="O8" s="161"/>
      <c r="P8" s="162" t="s">
        <v>152</v>
      </c>
      <c r="Q8" s="162" t="s">
        <v>156</v>
      </c>
      <c r="R8" s="163" t="s">
        <v>153</v>
      </c>
      <c r="S8" s="162" t="s">
        <v>157</v>
      </c>
      <c r="T8" s="164" t="s">
        <v>158</v>
      </c>
    </row>
    <row r="9" spans="1:20" ht="13.2" customHeight="1" x14ac:dyDescent="0.45">
      <c r="A9" s="25" t="s">
        <v>53</v>
      </c>
      <c r="B9" s="25">
        <v>6</v>
      </c>
      <c r="C9" s="25" t="s">
        <v>51</v>
      </c>
      <c r="D9" s="25">
        <v>2</v>
      </c>
      <c r="E9" s="25" t="s">
        <v>55</v>
      </c>
      <c r="F9" s="42" t="s">
        <v>52</v>
      </c>
      <c r="G9" s="22" t="s">
        <v>54</v>
      </c>
      <c r="H9" s="67">
        <f ca="1">N9</f>
        <v>56.039316381570046</v>
      </c>
      <c r="I9" s="20"/>
      <c r="J9" s="125" t="str">
        <f>A9</f>
        <v>03860C</v>
      </c>
      <c r="K9" s="125" t="s">
        <v>160</v>
      </c>
      <c r="L9" s="177" t="str">
        <f>G9</f>
        <v>Electrician</v>
      </c>
      <c r="M9" s="125" t="str">
        <f>F9</f>
        <v>01</v>
      </c>
      <c r="N9" s="130" cm="1">
        <f t="array" aca="1" ref="N9" ca="1">IF(K9="Y",VLOOKUP(J9,INDIRECT($K$2),5,0)*INDIRECT($J$3)+$K$4,VLOOKUP(J9,INDIRECT($K$2),5,0))</f>
        <v>56.039316381570046</v>
      </c>
      <c r="O9" s="135"/>
      <c r="P9" s="62" t="str">
        <f t="shared" ref="P9:S11" si="0">J9</f>
        <v>03860C</v>
      </c>
      <c r="Q9" s="62" t="str">
        <f t="shared" si="0"/>
        <v>Y</v>
      </c>
      <c r="R9" s="62" t="str">
        <f t="shared" si="0"/>
        <v>Electrician</v>
      </c>
      <c r="S9" s="47" t="str">
        <f t="shared" si="0"/>
        <v>01</v>
      </c>
      <c r="T9" s="48">
        <f ca="1">ROUND(N9,3)</f>
        <v>56.039000000000001</v>
      </c>
    </row>
    <row r="10" spans="1:20" ht="13.2" customHeight="1" x14ac:dyDescent="0.45">
      <c r="A10" s="25" t="s">
        <v>57</v>
      </c>
      <c r="B10" s="25">
        <v>8</v>
      </c>
      <c r="C10" s="25" t="s">
        <v>51</v>
      </c>
      <c r="D10" s="25">
        <v>2</v>
      </c>
      <c r="E10" s="25" t="s">
        <v>55</v>
      </c>
      <c r="F10" s="42" t="s">
        <v>56</v>
      </c>
      <c r="G10" s="22" t="s">
        <v>58</v>
      </c>
      <c r="H10" s="67">
        <f ca="1">N10</f>
        <v>59.439766144453884</v>
      </c>
      <c r="I10" s="20"/>
      <c r="J10" s="125" t="str">
        <f>A10</f>
        <v>04600C</v>
      </c>
      <c r="K10" s="125" t="s">
        <v>160</v>
      </c>
      <c r="L10" s="177" t="str">
        <f>G10</f>
        <v>Foreman, Electrician</v>
      </c>
      <c r="M10" s="125" t="str">
        <f>F10</f>
        <v>02</v>
      </c>
      <c r="N10" s="130" cm="1">
        <f t="array" aca="1" ref="N10" ca="1">IF(K10="Y",VLOOKUP(J10,INDIRECT($K$2),5,0)*INDIRECT($J$3)+$K$4,VLOOKUP(J10,INDIRECT($K$2),5,0))</f>
        <v>59.439766144453884</v>
      </c>
      <c r="O10" s="135"/>
      <c r="P10" s="62" t="str">
        <f t="shared" si="0"/>
        <v>04600C</v>
      </c>
      <c r="Q10" s="62" t="str">
        <f t="shared" si="0"/>
        <v>Y</v>
      </c>
      <c r="R10" s="62" t="str">
        <f t="shared" si="0"/>
        <v>Foreman, Electrician</v>
      </c>
      <c r="S10" s="47" t="str">
        <f t="shared" si="0"/>
        <v>02</v>
      </c>
      <c r="T10" s="48">
        <f t="shared" ref="T10:T11" ca="1" si="1">ROUND(N10,3)</f>
        <v>59.44</v>
      </c>
    </row>
    <row r="11" spans="1:20" ht="13.2" customHeight="1" x14ac:dyDescent="0.45">
      <c r="A11" s="25" t="s">
        <v>60</v>
      </c>
      <c r="B11" s="25">
        <v>8</v>
      </c>
      <c r="C11" s="25" t="s">
        <v>51</v>
      </c>
      <c r="D11" s="25">
        <v>2</v>
      </c>
      <c r="E11" s="25" t="s">
        <v>55</v>
      </c>
      <c r="F11" s="42" t="s">
        <v>59</v>
      </c>
      <c r="G11" s="22" t="s">
        <v>61</v>
      </c>
      <c r="H11" s="67">
        <f ca="1">N11</f>
        <v>61.140094232129137</v>
      </c>
      <c r="I11" s="20"/>
      <c r="J11" s="125" t="str">
        <f>A11</f>
        <v>04605C</v>
      </c>
      <c r="K11" s="125" t="s">
        <v>160</v>
      </c>
      <c r="L11" s="177" t="str">
        <f>G11</f>
        <v xml:space="preserve">Foreman, (Master) Electrician </v>
      </c>
      <c r="M11" s="125" t="str">
        <f>F11</f>
        <v>03</v>
      </c>
      <c r="N11" s="130" cm="1">
        <f t="array" aca="1" ref="N11" ca="1">IF(K11="Y",VLOOKUP(J11,INDIRECT($K$2),5,0)*INDIRECT($J$3)+$K$4,VLOOKUP(J11,INDIRECT($K$2),5,0))</f>
        <v>61.140094232129137</v>
      </c>
      <c r="O11" s="135"/>
      <c r="P11" s="62" t="str">
        <f t="shared" si="0"/>
        <v>04605C</v>
      </c>
      <c r="Q11" s="62" t="str">
        <f t="shared" si="0"/>
        <v>Y</v>
      </c>
      <c r="R11" s="62" t="str">
        <f t="shared" si="0"/>
        <v xml:space="preserve">Foreman, (Master) Electrician </v>
      </c>
      <c r="S11" s="47" t="str">
        <f t="shared" si="0"/>
        <v>03</v>
      </c>
      <c r="T11" s="48">
        <f t="shared" ca="1" si="1"/>
        <v>61.14</v>
      </c>
    </row>
    <row r="12" spans="1:20" ht="13.2" customHeight="1" x14ac:dyDescent="0.45">
      <c r="A12" s="25" t="s">
        <v>63</v>
      </c>
      <c r="B12" s="25">
        <v>10</v>
      </c>
      <c r="C12" s="25" t="s">
        <v>51</v>
      </c>
      <c r="D12" s="25">
        <v>2</v>
      </c>
      <c r="E12" s="25" t="s">
        <v>55</v>
      </c>
      <c r="F12" s="42" t="s">
        <v>62</v>
      </c>
      <c r="G12" s="22" t="s">
        <v>64</v>
      </c>
      <c r="H12" s="67">
        <f ca="1">N12</f>
        <v>62.840422319804425</v>
      </c>
      <c r="I12" s="20"/>
      <c r="J12" s="125" t="str">
        <f>A12</f>
        <v>05140C</v>
      </c>
      <c r="K12" s="125" t="s">
        <v>160</v>
      </c>
      <c r="L12" s="156" t="str">
        <f>G12</f>
        <v>*General Foreman, Electrician</v>
      </c>
      <c r="M12" s="155" t="str">
        <f>F12</f>
        <v>CSU N42</v>
      </c>
      <c r="N12" s="167" cm="1">
        <f t="array" aca="1" ref="N12" ca="1">IF(K12="Y",VLOOKUP(J12,INDIRECT($K$2),5,0)*INDIRECT($J$3)+$K$4,VLOOKUP(J12,INDIRECT($K$2),5,0))</f>
        <v>62.840422319804425</v>
      </c>
      <c r="O12" s="171"/>
      <c r="P12" s="62" t="str">
        <f t="shared" ref="P12:P13" si="2">J12</f>
        <v>05140C</v>
      </c>
      <c r="Q12" s="62" t="str">
        <f t="shared" ref="Q12:Q13" si="3">K12</f>
        <v>Y</v>
      </c>
      <c r="R12" s="62" t="str">
        <f t="shared" ref="R12:R13" si="4">L12</f>
        <v>*General Foreman, Electrician</v>
      </c>
      <c r="S12" s="47" t="str">
        <f t="shared" ref="S12:S13" si="5">M12</f>
        <v>CSU N42</v>
      </c>
      <c r="T12" s="48">
        <f t="shared" ref="T12:T13" ca="1" si="6">ROUND(N12,3)</f>
        <v>62.84</v>
      </c>
    </row>
    <row r="13" spans="1:20" ht="13.2" customHeight="1" x14ac:dyDescent="0.45">
      <c r="A13" s="25" t="s">
        <v>99</v>
      </c>
      <c r="B13" s="25">
        <v>10</v>
      </c>
      <c r="C13" s="25" t="s">
        <v>51</v>
      </c>
      <c r="D13" s="25">
        <v>2</v>
      </c>
      <c r="E13" s="25" t="s">
        <v>55</v>
      </c>
      <c r="F13" s="42" t="s">
        <v>62</v>
      </c>
      <c r="G13" s="22" t="s">
        <v>100</v>
      </c>
      <c r="H13" s="67">
        <f ca="1">N13</f>
        <v>62.840422319804425</v>
      </c>
      <c r="I13" s="20"/>
      <c r="J13" s="121" t="s">
        <v>99</v>
      </c>
      <c r="K13" s="121" t="s">
        <v>160</v>
      </c>
      <c r="L13" s="156" t="str">
        <f>G13</f>
        <v>*Supervisor Water Plant Electrical and Control Systems</v>
      </c>
      <c r="M13" s="155" t="str">
        <f>F13</f>
        <v>CSU N42</v>
      </c>
      <c r="N13" s="167" cm="1">
        <f t="array" aca="1" ref="N13" ca="1">IF(K13="Y",VLOOKUP(J13,INDIRECT($K$2),5,0)*INDIRECT($J$3)+$K$4,VLOOKUP(J13,INDIRECT($K$2),5,0))</f>
        <v>62.840422319804425</v>
      </c>
      <c r="O13" s="171"/>
      <c r="P13" s="62" t="str">
        <f t="shared" si="2"/>
        <v>10375C</v>
      </c>
      <c r="Q13" s="62" t="str">
        <f t="shared" si="3"/>
        <v>Y</v>
      </c>
      <c r="R13" s="62" t="str">
        <f t="shared" si="4"/>
        <v>*Supervisor Water Plant Electrical and Control Systems</v>
      </c>
      <c r="S13" s="47" t="str">
        <f t="shared" si="5"/>
        <v>CSU N42</v>
      </c>
      <c r="T13" s="48">
        <f t="shared" ca="1" si="6"/>
        <v>62.84</v>
      </c>
    </row>
    <row r="14" spans="1:20" ht="13.2" customHeight="1" x14ac:dyDescent="0.45">
      <c r="A14" s="25"/>
      <c r="B14" s="25"/>
      <c r="C14" s="25"/>
      <c r="D14" s="25"/>
      <c r="F14" s="25"/>
      <c r="G14" s="22"/>
      <c r="I14" s="20"/>
      <c r="J14" s="125"/>
      <c r="K14" s="125"/>
      <c r="L14" s="157" t="s">
        <v>232</v>
      </c>
      <c r="M14" s="166"/>
      <c r="N14" s="167"/>
      <c r="O14" s="166"/>
    </row>
    <row r="15" spans="1:20" ht="13.2" customHeight="1" x14ac:dyDescent="0.45">
      <c r="A15" s="18"/>
      <c r="B15" s="18"/>
      <c r="C15" s="18"/>
      <c r="D15" s="18"/>
      <c r="E15" s="32"/>
      <c r="F15" s="22" t="s">
        <v>195</v>
      </c>
      <c r="H15" s="18"/>
      <c r="I15" s="20"/>
      <c r="J15" s="125"/>
      <c r="K15" s="125"/>
      <c r="L15" s="125"/>
      <c r="M15" s="125"/>
    </row>
    <row r="16" spans="1:20" ht="13.2" customHeight="1" x14ac:dyDescent="0.45">
      <c r="A16" s="1" t="s">
        <v>66</v>
      </c>
      <c r="E16" s="2"/>
      <c r="H16" s="2"/>
      <c r="I16" s="3"/>
      <c r="J16" s="129"/>
      <c r="K16" s="129"/>
      <c r="L16" s="129"/>
      <c r="M16" s="129"/>
      <c r="N16" s="130"/>
    </row>
    <row r="17" spans="1:20" ht="13.2" customHeight="1" x14ac:dyDescent="0.45">
      <c r="A17" s="8" t="s">
        <v>67</v>
      </c>
      <c r="H17" s="6"/>
      <c r="I17" s="3"/>
      <c r="J17" s="129"/>
      <c r="K17" s="129"/>
      <c r="L17" s="129"/>
      <c r="M17" s="129"/>
      <c r="N17" s="130"/>
    </row>
    <row r="18" spans="1:20" ht="13.2" customHeight="1" x14ac:dyDescent="0.45">
      <c r="A18" s="144">
        <f ca="1">N18</f>
        <v>0.3222867058841653</v>
      </c>
      <c r="B18" s="5" t="s">
        <v>68</v>
      </c>
      <c r="I18" s="12"/>
      <c r="J18" s="129" t="s">
        <v>69</v>
      </c>
      <c r="K18" s="129" t="s">
        <v>51</v>
      </c>
      <c r="L18" s="124" t="s">
        <v>102</v>
      </c>
      <c r="M18" s="130"/>
      <c r="N18" s="130" cm="1">
        <f t="array" aca="1" ref="N18" ca="1">IF(K18="Y",VLOOKUP(J18,INDIRECT($K$2),5,0)*INDIRECT($J$3),VLOOKUP(J18,INDIRECT($K$2),5,0))</f>
        <v>0.3222867058841653</v>
      </c>
      <c r="P18" s="62" t="str">
        <f t="shared" ref="P18:R21" si="7">J18</f>
        <v>LNG10</v>
      </c>
      <c r="Q18" s="62" t="str">
        <f t="shared" si="7"/>
        <v>N</v>
      </c>
      <c r="R18" s="62" t="str">
        <f t="shared" si="7"/>
        <v>Longevity - 10 years</v>
      </c>
      <c r="T18" s="48">
        <f t="shared" ref="T18:T21" ca="1" si="8">ROUND(N18,3)</f>
        <v>0.32200000000000001</v>
      </c>
    </row>
    <row r="19" spans="1:20" ht="13.2" customHeight="1" x14ac:dyDescent="0.45">
      <c r="A19" s="144">
        <f ca="1">N19</f>
        <v>0.44529689896972463</v>
      </c>
      <c r="B19" s="5" t="s">
        <v>70</v>
      </c>
      <c r="I19" s="12"/>
      <c r="J19" s="129" t="s">
        <v>71</v>
      </c>
      <c r="K19" s="129" t="s">
        <v>51</v>
      </c>
      <c r="L19" s="124" t="s">
        <v>103</v>
      </c>
      <c r="M19" s="130"/>
      <c r="N19" s="130" cm="1">
        <f t="array" aca="1" ref="N19" ca="1">IF(K19="Y",VLOOKUP(J19,INDIRECT($K$2),5,0)*INDIRECT($J$3),VLOOKUP(J19,INDIRECT($K$2),5,0))</f>
        <v>0.44529689896972463</v>
      </c>
      <c r="P19" s="62" t="str">
        <f t="shared" si="7"/>
        <v>LNG15</v>
      </c>
      <c r="Q19" s="62" t="str">
        <f t="shared" si="7"/>
        <v>N</v>
      </c>
      <c r="R19" s="62" t="str">
        <f t="shared" si="7"/>
        <v>Longevity - 15 years</v>
      </c>
      <c r="T19" s="48">
        <f t="shared" ca="1" si="8"/>
        <v>0.44500000000000001</v>
      </c>
    </row>
    <row r="20" spans="1:20" ht="13.2" customHeight="1" x14ac:dyDescent="0.45">
      <c r="A20" s="144">
        <f ca="1">N20</f>
        <v>0.70976881410367698</v>
      </c>
      <c r="B20" s="5" t="s">
        <v>72</v>
      </c>
      <c r="I20" s="12"/>
      <c r="J20" s="129" t="s">
        <v>73</v>
      </c>
      <c r="K20" s="129" t="s">
        <v>51</v>
      </c>
      <c r="L20" s="124" t="s">
        <v>104</v>
      </c>
      <c r="M20" s="130"/>
      <c r="N20" s="130" cm="1">
        <f t="array" aca="1" ref="N20" ca="1">IF(K20="Y",VLOOKUP(J20,INDIRECT($K$2),5,0)*INDIRECT($J$3),VLOOKUP(J20,INDIRECT($K$2),5,0))</f>
        <v>0.70976881410367698</v>
      </c>
      <c r="P20" s="62" t="str">
        <f t="shared" si="7"/>
        <v>LNG20</v>
      </c>
      <c r="Q20" s="62" t="str">
        <f t="shared" si="7"/>
        <v>N</v>
      </c>
      <c r="R20" s="62" t="str">
        <f t="shared" si="7"/>
        <v>Longevity - 20 years</v>
      </c>
      <c r="T20" s="48">
        <f t="shared" ca="1" si="8"/>
        <v>0.71</v>
      </c>
    </row>
    <row r="21" spans="1:20" ht="13.2" customHeight="1" x14ac:dyDescent="0.45">
      <c r="A21" s="144">
        <f ca="1">N21</f>
        <v>1.0640381701900878</v>
      </c>
      <c r="B21" s="5" t="s">
        <v>74</v>
      </c>
      <c r="I21" s="12"/>
      <c r="J21" s="129" t="s">
        <v>75</v>
      </c>
      <c r="K21" s="129" t="s">
        <v>51</v>
      </c>
      <c r="L21" s="124" t="s">
        <v>105</v>
      </c>
      <c r="M21" s="130"/>
      <c r="N21" s="130" cm="1">
        <f t="array" aca="1" ref="N21" ca="1">IF(K21="Y",VLOOKUP(J21,INDIRECT($K$2),5,0)*INDIRECT($J$3),VLOOKUP(J21,INDIRECT($K$2),5,0))</f>
        <v>1.0640381701900878</v>
      </c>
      <c r="P21" s="62" t="str">
        <f t="shared" si="7"/>
        <v>LNG25</v>
      </c>
      <c r="Q21" s="62" t="str">
        <f t="shared" si="7"/>
        <v>N</v>
      </c>
      <c r="R21" s="62" t="str">
        <f t="shared" si="7"/>
        <v>Longevity - 25 years</v>
      </c>
      <c r="T21" s="48">
        <f t="shared" ca="1" si="8"/>
        <v>1.0640000000000001</v>
      </c>
    </row>
    <row r="22" spans="1:20" ht="13.2" customHeight="1" x14ac:dyDescent="0.45"/>
    <row r="23" spans="1:20" ht="13.2" customHeight="1" x14ac:dyDescent="0.45">
      <c r="A23" s="1" t="s">
        <v>76</v>
      </c>
    </row>
    <row r="24" spans="1:20" ht="13.2" customHeight="1" x14ac:dyDescent="0.45">
      <c r="A24" s="46" t="str">
        <f ca="1">"Provided that a night shift differential of "&amp;TEXT(N24,"$#.000")&amp;" per hour for each hour, or fraction thereof, they"</f>
        <v>Provided that a night shift differential of $2.612 per hour for each hour, or fraction thereof, they</v>
      </c>
      <c r="H24" s="19"/>
      <c r="J24" s="121" t="s">
        <v>79</v>
      </c>
      <c r="K24" s="129" t="s">
        <v>51</v>
      </c>
      <c r="L24" s="124" t="s">
        <v>106</v>
      </c>
      <c r="M24" s="129"/>
      <c r="N24" s="130" cm="1">
        <f t="array" aca="1" ref="N24" ca="1">IF(K24="Y",VLOOKUP(J24,INDIRECT($K$2),5,0)*INDIRECT($J$3),VLOOKUP(J24,INDIRECT($K$2),5,0))</f>
        <v>2.6117039865201854</v>
      </c>
      <c r="P24" s="62" t="str">
        <f t="shared" ref="P24:R25" si="9">J24</f>
        <v>CELEVE</v>
      </c>
      <c r="Q24" s="62" t="str">
        <f t="shared" si="9"/>
        <v>N</v>
      </c>
      <c r="R24" s="62" t="str">
        <f t="shared" si="9"/>
        <v>TL-Evening Shift Premium-CEL</v>
      </c>
      <c r="T24" s="48">
        <f t="shared" ref="T24:T25" ca="1" si="10">ROUND(N24,3)</f>
        <v>2.6120000000000001</v>
      </c>
    </row>
    <row r="25" spans="1:20" ht="13.2" customHeight="1" x14ac:dyDescent="0.45">
      <c r="A25" s="46" t="s">
        <v>80</v>
      </c>
      <c r="J25" s="121" t="s">
        <v>81</v>
      </c>
      <c r="K25" s="129" t="s">
        <v>51</v>
      </c>
      <c r="L25" s="124" t="s">
        <v>107</v>
      </c>
      <c r="M25" s="129"/>
      <c r="N25" s="130" cm="1">
        <f t="array" aca="1" ref="N25" ca="1">IF(K25="Y",VLOOKUP(J25,INDIRECT($K$2),5,0)*INDIRECT($J$3),VLOOKUP(J25,INDIRECT($K$2),5,0))</f>
        <v>2.6117039865201854</v>
      </c>
      <c r="P25" s="62" t="str">
        <f t="shared" si="9"/>
        <v>CELSGT</v>
      </c>
      <c r="Q25" s="62" t="str">
        <f t="shared" si="9"/>
        <v>N</v>
      </c>
      <c r="R25" s="62" t="str">
        <f t="shared" si="9"/>
        <v>TL-Signal Truck Premium-CEL</v>
      </c>
      <c r="T25" s="48">
        <f t="shared" ca="1" si="10"/>
        <v>2.6120000000000001</v>
      </c>
    </row>
    <row r="26" spans="1:20" ht="13.2" customHeight="1" x14ac:dyDescent="0.45">
      <c r="A26" s="46" t="s">
        <v>82</v>
      </c>
    </row>
    <row r="27" spans="1:20" ht="13.2" customHeight="1" x14ac:dyDescent="0.45">
      <c r="A27" s="46"/>
    </row>
    <row r="28" spans="1:20" ht="13.2" customHeight="1" x14ac:dyDescent="0.45">
      <c r="A28" s="46" t="str">
        <f ca="1">"Provided that a weekend shift differential of "&amp;TEXT(N28,"$#.000")&amp;" per hour shall be paid to employees who work"</f>
        <v>Provided that a weekend shift differential of $1.771 per hour shall be paid to employees who work</v>
      </c>
      <c r="H28" s="19"/>
      <c r="J28" s="121" t="s">
        <v>85</v>
      </c>
      <c r="K28" s="129" t="s">
        <v>51</v>
      </c>
      <c r="L28" s="124" t="s">
        <v>108</v>
      </c>
      <c r="M28" s="129"/>
      <c r="N28" s="130" cm="1">
        <f t="array" aca="1" ref="N28" ca="1">IF(K28="Y",VLOOKUP(J28,INDIRECT($K$2),5,0)*INDIRECT($J$3),VLOOKUP(J28,INDIRECT($K$2),5,0))</f>
        <v>1.7708779962743417</v>
      </c>
      <c r="P28" s="62" t="str">
        <f>J28</f>
        <v>CELWKE</v>
      </c>
      <c r="Q28" s="62" t="str">
        <f>K28</f>
        <v>N</v>
      </c>
      <c r="R28" s="62" t="str">
        <f>L28</f>
        <v>TL-Wkend Shift dif CEL</v>
      </c>
      <c r="T28" s="48">
        <f t="shared" ref="T28" ca="1" si="11">ROUND(N28,3)</f>
        <v>1.7709999999999999</v>
      </c>
    </row>
    <row r="29" spans="1:20" ht="13.2" customHeight="1" x14ac:dyDescent="0.45">
      <c r="A29" s="46" t="s">
        <v>86</v>
      </c>
    </row>
    <row r="30" spans="1:20" ht="13.2" customHeight="1" x14ac:dyDescent="0.45">
      <c r="G30" s="19"/>
    </row>
    <row r="31" spans="1:20" ht="13.2" customHeight="1" x14ac:dyDescent="0.45">
      <c r="A31" s="68" t="str">
        <f ca="1">"Provided that a premium of "&amp;TEXT(N31,"$#.000")&amp;" per hour shall be paid to employees for hours worked while performing welding work."</f>
        <v>Provided that a premium of $2.000 per hour shall be paid to employees for hours worked while performing welding work.</v>
      </c>
      <c r="B31" s="3"/>
      <c r="J31" s="129" t="s">
        <v>136</v>
      </c>
      <c r="K31" s="129" t="s">
        <v>51</v>
      </c>
      <c r="L31" s="124" t="s">
        <v>137</v>
      </c>
      <c r="M31" s="129"/>
      <c r="N31" s="130" cm="1">
        <f t="array" aca="1" ref="N31" ca="1">IF(K31="Y",VLOOKUP(J31,INDIRECT($K$2),5,0)*INDIRECT($J$3),VLOOKUP(J31,INDIRECT($K$2),5,0))</f>
        <v>2</v>
      </c>
      <c r="P31" s="62" t="str">
        <f>J31</f>
        <v>CELWLD</v>
      </c>
      <c r="Q31" s="62" t="str">
        <f>K31</f>
        <v>N</v>
      </c>
      <c r="R31" s="62" t="str">
        <f>L31</f>
        <v>Welding premium - add to COMET</v>
      </c>
      <c r="T31" s="48">
        <f t="shared" ref="T31" ca="1" si="12">ROUND(N31,3)</f>
        <v>2</v>
      </c>
    </row>
    <row r="32" spans="1:20" ht="13.2" customHeight="1" x14ac:dyDescent="0.45">
      <c r="A32" s="68"/>
      <c r="B32" s="3"/>
      <c r="J32" s="129"/>
      <c r="K32" s="129"/>
      <c r="L32" s="129"/>
      <c r="M32" s="129"/>
      <c r="N32" s="130"/>
    </row>
    <row r="33" spans="1:20" s="12" customFormat="1" x14ac:dyDescent="0.45">
      <c r="A33" s="12" t="s">
        <v>109</v>
      </c>
      <c r="J33" s="129"/>
      <c r="K33" s="129"/>
      <c r="L33" s="124"/>
      <c r="M33" s="129"/>
      <c r="N33" s="145"/>
      <c r="O33" s="133"/>
      <c r="P33" s="62"/>
      <c r="Q33" s="62"/>
      <c r="R33" s="62"/>
      <c r="S33" s="47"/>
      <c r="T33" s="146"/>
    </row>
    <row r="34" spans="1:20" s="12" customFormat="1" x14ac:dyDescent="0.45">
      <c r="A34" s="68" t="s">
        <v>111</v>
      </c>
      <c r="J34" s="129"/>
      <c r="K34" s="129"/>
      <c r="L34" s="124"/>
      <c r="M34" s="129"/>
      <c r="N34" s="145"/>
      <c r="O34" s="133"/>
      <c r="P34" s="62"/>
      <c r="Q34" s="62"/>
      <c r="R34" s="62"/>
      <c r="S34" s="47"/>
      <c r="T34" s="146"/>
    </row>
    <row r="35" spans="1:20" s="3" customFormat="1" x14ac:dyDescent="0.45">
      <c r="A35" s="68" t="s">
        <v>113</v>
      </c>
      <c r="J35" s="129"/>
      <c r="K35" s="129"/>
      <c r="L35" s="149"/>
      <c r="M35" s="129"/>
      <c r="N35" s="131"/>
      <c r="O35" s="134"/>
      <c r="P35" s="53"/>
      <c r="Q35" s="53"/>
      <c r="R35" s="53"/>
      <c r="S35" s="49"/>
      <c r="T35" s="49"/>
    </row>
    <row r="36" spans="1:20" s="3" customFormat="1" x14ac:dyDescent="0.45">
      <c r="A36" s="68" t="s">
        <v>114</v>
      </c>
      <c r="J36" s="129"/>
      <c r="K36" s="129"/>
      <c r="L36" s="129"/>
      <c r="M36" s="129"/>
      <c r="N36" s="131"/>
      <c r="O36" s="134"/>
      <c r="P36" s="53"/>
      <c r="Q36" s="53"/>
      <c r="R36" s="53"/>
      <c r="S36" s="49"/>
      <c r="T36" s="49"/>
    </row>
    <row r="37" spans="1:20" s="3" customFormat="1" x14ac:dyDescent="0.45">
      <c r="A37" s="68" t="s">
        <v>115</v>
      </c>
      <c r="J37" s="134"/>
      <c r="K37" s="134"/>
      <c r="L37" s="129"/>
      <c r="M37" s="134"/>
      <c r="N37" s="131"/>
      <c r="O37" s="134"/>
      <c r="P37" s="53"/>
      <c r="Q37" s="53"/>
      <c r="R37" s="53"/>
      <c r="S37" s="49"/>
      <c r="T37" s="49"/>
    </row>
    <row r="38" spans="1:20" s="3" customFormat="1" x14ac:dyDescent="0.45">
      <c r="J38" s="129"/>
      <c r="K38" s="129"/>
      <c r="L38" s="134"/>
      <c r="M38" s="129"/>
      <c r="N38" s="131"/>
      <c r="O38" s="134"/>
      <c r="P38" s="53"/>
      <c r="Q38" s="53"/>
      <c r="R38" s="53"/>
      <c r="S38" s="49"/>
      <c r="T38" s="49"/>
    </row>
    <row r="39" spans="1:20" s="3" customFormat="1" x14ac:dyDescent="0.45">
      <c r="J39" s="129"/>
      <c r="K39" s="129"/>
      <c r="L39" s="129"/>
      <c r="M39" s="129"/>
      <c r="N39" s="131"/>
      <c r="O39" s="134"/>
      <c r="P39" s="53"/>
      <c r="Q39" s="53"/>
      <c r="R39" s="53"/>
      <c r="S39" s="49"/>
      <c r="T39" s="49"/>
    </row>
    <row r="40" spans="1:20" s="3" customFormat="1" x14ac:dyDescent="0.45">
      <c r="J40" s="129"/>
      <c r="K40" s="129"/>
      <c r="L40" s="129"/>
      <c r="M40" s="129"/>
      <c r="N40" s="131"/>
      <c r="O40" s="134"/>
      <c r="P40" s="53"/>
      <c r="Q40" s="53"/>
      <c r="R40" s="53"/>
      <c r="S40" s="49"/>
      <c r="T40" s="49"/>
    </row>
    <row r="41" spans="1:20" s="3" customFormat="1" x14ac:dyDescent="0.45">
      <c r="A41" s="3" t="s">
        <v>234</v>
      </c>
      <c r="H41" s="3" t="s">
        <v>162</v>
      </c>
      <c r="J41" s="129"/>
      <c r="K41" s="129"/>
      <c r="L41" s="129"/>
      <c r="M41" s="129"/>
      <c r="N41" s="131"/>
      <c r="O41" s="134"/>
      <c r="P41" s="53"/>
      <c r="Q41" s="53"/>
      <c r="R41" s="53"/>
      <c r="S41" s="49"/>
      <c r="T41" s="49"/>
    </row>
    <row r="42" spans="1:20" s="3" customFormat="1" x14ac:dyDescent="0.45">
      <c r="J42" s="129"/>
      <c r="K42" s="129"/>
      <c r="L42" s="129"/>
      <c r="M42" s="129"/>
      <c r="N42" s="131"/>
      <c r="O42" s="134"/>
      <c r="P42" s="53"/>
      <c r="Q42" s="53"/>
      <c r="R42" s="53"/>
      <c r="S42" s="49"/>
      <c r="T42" s="49"/>
    </row>
    <row r="43" spans="1:20" s="3" customFormat="1" x14ac:dyDescent="0.45">
      <c r="J43" s="129"/>
      <c r="K43" s="129"/>
      <c r="L43" s="129"/>
      <c r="M43" s="129"/>
      <c r="N43" s="131"/>
      <c r="O43" s="134"/>
      <c r="P43" s="53"/>
      <c r="Q43" s="53"/>
      <c r="R43" s="53"/>
      <c r="S43" s="49"/>
      <c r="T43" s="49"/>
    </row>
    <row r="44" spans="1:20" s="3" customFormat="1" x14ac:dyDescent="0.45">
      <c r="J44" s="129"/>
      <c r="K44" s="129"/>
      <c r="L44" s="129"/>
      <c r="M44" s="129"/>
      <c r="N44" s="131"/>
      <c r="O44" s="134"/>
      <c r="P44" s="53"/>
      <c r="Q44" s="53"/>
      <c r="R44" s="53"/>
      <c r="S44" s="49"/>
      <c r="T44" s="49"/>
    </row>
    <row r="45" spans="1:20" s="3" customFormat="1" x14ac:dyDescent="0.45">
      <c r="J45" s="129"/>
      <c r="K45" s="129"/>
      <c r="L45" s="129"/>
      <c r="M45" s="129"/>
      <c r="N45" s="131"/>
      <c r="O45" s="134"/>
      <c r="P45" s="53"/>
      <c r="Q45" s="53"/>
      <c r="R45" s="53"/>
      <c r="S45" s="49"/>
      <c r="T45" s="49"/>
    </row>
    <row r="46" spans="1:20" s="3" customFormat="1" x14ac:dyDescent="0.45">
      <c r="A46" s="15"/>
      <c r="B46" s="15"/>
      <c r="C46" s="29"/>
      <c r="D46" s="14"/>
      <c r="E46" s="14"/>
      <c r="F46" s="15"/>
      <c r="G46" s="14"/>
      <c r="H46" s="14"/>
      <c r="I46" s="14"/>
      <c r="J46" s="132"/>
      <c r="K46" s="132"/>
      <c r="L46" s="132"/>
      <c r="M46" s="132"/>
      <c r="N46" s="131"/>
      <c r="O46" s="134"/>
      <c r="P46" s="53"/>
      <c r="Q46" s="53"/>
      <c r="R46" s="53"/>
      <c r="S46" s="49"/>
      <c r="T46" s="49"/>
    </row>
    <row r="47" spans="1:20" s="3" customFormat="1" x14ac:dyDescent="0.45">
      <c r="A47" s="14"/>
      <c r="B47" s="14"/>
      <c r="C47" s="14"/>
      <c r="D47" s="14"/>
      <c r="E47" s="14"/>
      <c r="F47" s="14"/>
      <c r="G47" s="14"/>
      <c r="H47" s="14"/>
      <c r="I47" s="14"/>
      <c r="J47" s="132"/>
      <c r="K47" s="132"/>
      <c r="L47" s="132"/>
      <c r="M47" s="132"/>
      <c r="N47" s="131"/>
      <c r="O47" s="134"/>
      <c r="P47" s="53"/>
      <c r="Q47" s="53"/>
      <c r="R47" s="53"/>
      <c r="S47" s="49"/>
      <c r="T47" s="49"/>
    </row>
    <row r="48" spans="1:20" s="17" customFormat="1" x14ac:dyDescent="0.45">
      <c r="A48" s="14"/>
      <c r="B48" s="14"/>
      <c r="C48" s="14"/>
      <c r="D48" s="14"/>
      <c r="E48" s="14"/>
      <c r="F48" s="14"/>
      <c r="G48" s="14"/>
      <c r="H48" s="14"/>
      <c r="I48" s="14"/>
      <c r="J48" s="132"/>
      <c r="K48" s="132"/>
      <c r="L48" s="132"/>
      <c r="M48" s="132"/>
      <c r="N48" s="131"/>
      <c r="O48" s="129"/>
      <c r="P48" s="49"/>
      <c r="Q48" s="49"/>
      <c r="R48" s="49"/>
      <c r="S48" s="49"/>
      <c r="T48" s="49"/>
    </row>
    <row r="49" spans="3:20" s="3" customFormat="1" x14ac:dyDescent="0.45">
      <c r="C49" s="17"/>
      <c r="D49" s="17"/>
      <c r="E49" s="17"/>
      <c r="H49" s="17"/>
      <c r="J49" s="129"/>
      <c r="K49" s="129"/>
      <c r="L49" s="129"/>
      <c r="M49" s="129"/>
      <c r="N49" s="131"/>
      <c r="O49" s="134"/>
      <c r="P49" s="53"/>
      <c r="Q49" s="53"/>
      <c r="R49" s="53"/>
      <c r="S49" s="49"/>
      <c r="T49" s="49"/>
    </row>
    <row r="50" spans="3:20" s="3" customFormat="1" x14ac:dyDescent="0.45">
      <c r="J50" s="129"/>
      <c r="K50" s="129"/>
      <c r="L50" s="129"/>
      <c r="M50" s="129"/>
      <c r="N50" s="131"/>
      <c r="O50" s="134"/>
      <c r="P50" s="53"/>
      <c r="Q50" s="53"/>
      <c r="R50" s="53"/>
      <c r="S50" s="49"/>
      <c r="T50" s="49"/>
    </row>
    <row r="51" spans="3:20" s="3" customFormat="1" x14ac:dyDescent="0.45">
      <c r="J51" s="129"/>
      <c r="K51" s="129"/>
      <c r="L51" s="129"/>
      <c r="M51" s="129"/>
      <c r="N51" s="131"/>
      <c r="O51" s="134"/>
      <c r="P51" s="53"/>
      <c r="Q51" s="53"/>
      <c r="R51" s="53"/>
      <c r="S51" s="49"/>
      <c r="T51" s="49"/>
    </row>
  </sheetData>
  <sheetProtection sheet="1" objects="1" scenarios="1"/>
  <mergeCells count="4">
    <mergeCell ref="L1:O1"/>
    <mergeCell ref="L2:O2"/>
    <mergeCell ref="L4:O4"/>
    <mergeCell ref="L5:O5"/>
  </mergeCells>
  <pageMargins left="0" right="0" top="1" bottom="0.5" header="0.5" footer="0.5"/>
  <pageSetup scale="94" fitToHeight="2" orientation="landscape" horizont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413E-D37A-4A52-9E80-2E6AB2F5D759}">
  <sheetPr>
    <pageSetUpPr fitToPage="1"/>
  </sheetPr>
  <dimension ref="A1:T51"/>
  <sheetViews>
    <sheetView showGridLines="0" zoomScaleNormal="100" workbookViewId="0">
      <selection activeCell="D6" sqref="D6"/>
    </sheetView>
  </sheetViews>
  <sheetFormatPr defaultColWidth="11.41015625" defaultRowHeight="13" x14ac:dyDescent="0.45"/>
  <cols>
    <col min="1" max="1" width="9.5859375" style="21" customWidth="1"/>
    <col min="2" max="2" width="14.1171875" style="21" customWidth="1"/>
    <col min="3" max="3" width="5.703125" style="21" bestFit="1" customWidth="1"/>
    <col min="4" max="4" width="13.87890625" style="21" customWidth="1"/>
    <col min="5" max="5" width="5.703125" style="21" bestFit="1" customWidth="1"/>
    <col min="6" max="6" width="24" style="21" customWidth="1"/>
    <col min="7" max="7" width="45.41015625" style="21" customWidth="1"/>
    <col min="8" max="8" width="7.41015625" style="25" bestFit="1" customWidth="1"/>
    <col min="9" max="9" width="38.41015625" style="25" hidden="1" customWidth="1"/>
    <col min="10" max="10" width="22.41015625" style="121" hidden="1" customWidth="1"/>
    <col min="11" max="11" width="13.29296875" style="121" hidden="1" customWidth="1"/>
    <col min="12" max="12" width="64.87890625" style="121" hidden="1" customWidth="1"/>
    <col min="13" max="13" width="8.29296875" style="121" hidden="1" customWidth="1"/>
    <col min="14" max="14" width="27.5859375" style="128" hidden="1" customWidth="1"/>
    <col min="15" max="15" width="43.87890625" style="124" hidden="1" customWidth="1"/>
    <col min="16" max="16" width="25.703125" style="62" hidden="1" customWidth="1"/>
    <col min="17" max="17" width="6.5859375" style="62" hidden="1" customWidth="1"/>
    <col min="18" max="18" width="45.5859375" style="62" hidden="1" customWidth="1"/>
    <col min="19" max="19" width="8.5859375" style="47" hidden="1" customWidth="1"/>
    <col min="20" max="20" width="27.5859375" style="47" hidden="1" customWidth="1"/>
    <col min="21" max="16384" width="11.41015625" style="21"/>
  </cols>
  <sheetData>
    <row r="1" spans="1:20" x14ac:dyDescent="0.45">
      <c r="A1" s="21" t="s">
        <v>138</v>
      </c>
      <c r="J1" s="119" t="s">
        <v>185</v>
      </c>
      <c r="K1" s="173">
        <v>45748</v>
      </c>
      <c r="L1" s="187" t="s">
        <v>196</v>
      </c>
      <c r="M1" s="187"/>
      <c r="N1" s="187"/>
      <c r="O1" s="187"/>
    </row>
    <row r="2" spans="1:20" x14ac:dyDescent="0.45">
      <c r="A2" s="72" t="s">
        <v>186</v>
      </c>
      <c r="B2" s="72"/>
      <c r="J2" s="177" t="s">
        <v>187</v>
      </c>
      <c r="K2" s="176" t="str">
        <f>"Data"&amp;VLOOKUP(MONTH(K1),Months,2,0)&amp;YEAR(K1)</f>
        <v>DataApr2025</v>
      </c>
      <c r="L2" s="178" t="str">
        <f>"9. Enter effective date in cell B3; 10. Enter General Increase % in cell C3; 11. Enter any adjustment % in cell E3. 12. Enter adjustment type in cell F3"</f>
        <v>9. Enter effective date in cell B3; 10. Enter General Increase % in cell C3; 11. Enter any adjustment % in cell E3. 12. Enter adjustment type in cell F3</v>
      </c>
      <c r="M2" s="169"/>
      <c r="N2" s="170"/>
      <c r="O2" s="168"/>
    </row>
    <row r="3" spans="1:20" ht="13.2" customHeight="1" x14ac:dyDescent="0.45">
      <c r="A3" s="19" t="s">
        <v>188</v>
      </c>
      <c r="B3" s="151">
        <v>46023</v>
      </c>
      <c r="C3" s="152">
        <v>0.04</v>
      </c>
      <c r="D3" s="19" t="s">
        <v>189</v>
      </c>
      <c r="E3" s="152">
        <v>5.0000000000000001E-3</v>
      </c>
      <c r="F3" s="19" t="s">
        <v>197</v>
      </c>
      <c r="G3" s="19"/>
      <c r="H3" s="18"/>
      <c r="I3" s="20"/>
      <c r="J3" s="176" t="str">
        <f>"IncrPerc"&amp;VLOOKUP(MONTH(B3),Months,2,0)&amp;YEAR(B3)</f>
        <v>IncrPercJan2026</v>
      </c>
      <c r="K3" s="172">
        <f>(C3+1)*(E3+1)</f>
        <v>1.0451999999999999</v>
      </c>
      <c r="L3" s="187" t="str">
        <f>"13. Name cell K3: "&amp;"IncrPerc"&amp;VLOOKUP(MONTH(B3),Months,2,0)&amp;YEAR(B3)&amp;" 14. Name cells J10:O33 in previous tab: "&amp;"Data"&amp;VLOOKUP(MONTH($K$1),Months,2,0)&amp;YEAR($K$1)</f>
        <v>13. Name cell K3: IncrPercJan2026 14. Name cells J10:O33 in previous tab: DataApr2025</v>
      </c>
      <c r="M3" s="187"/>
      <c r="N3" s="187"/>
      <c r="O3" s="187"/>
    </row>
    <row r="4" spans="1:20" ht="13.2" customHeight="1" x14ac:dyDescent="0.45">
      <c r="A4" s="22" t="s">
        <v>231</v>
      </c>
      <c r="B4" s="22"/>
      <c r="C4" s="18"/>
      <c r="D4" s="18"/>
      <c r="F4" s="18"/>
      <c r="G4" s="19"/>
      <c r="H4" s="18"/>
      <c r="I4" s="20"/>
      <c r="J4" s="121" t="s">
        <v>190</v>
      </c>
      <c r="K4" s="145">
        <v>0</v>
      </c>
      <c r="L4" s="188" t="str">
        <f>"15. Add any additional shoe allowance to K4"</f>
        <v>15. Add any additional shoe allowance to K4</v>
      </c>
      <c r="M4" s="188"/>
      <c r="N4" s="188"/>
      <c r="O4" s="188"/>
    </row>
    <row r="5" spans="1:20" ht="13.2" customHeight="1" x14ac:dyDescent="0.45">
      <c r="B5" s="22"/>
      <c r="C5" s="18"/>
      <c r="D5" s="18"/>
      <c r="F5" s="18"/>
      <c r="G5" s="19"/>
      <c r="H5" s="18"/>
      <c r="I5" s="20"/>
      <c r="J5" s="177"/>
      <c r="K5" s="124"/>
      <c r="L5" s="189" t="str">
        <f>"16. In Formulas - Name Manager, find "&amp;"IncrPerc"&amp;VLOOKUP(MONTH(K1),Months,2,0)&amp;YEAR(K1)&amp;" referring to "&amp;"'"&amp;MONTH(B3)&amp;"-"&amp;DAY(B3)&amp;"-"&amp;YEAR(B3)&amp;"'!"&amp;"$K$3"&amp;" and delete it."</f>
        <v>16. In Formulas - Name Manager, find IncrPercApr2025 referring to '1-1-2026'!$K$3 and delete it.</v>
      </c>
      <c r="M5" s="189"/>
      <c r="N5" s="189"/>
      <c r="O5" s="189"/>
    </row>
    <row r="6" spans="1:20" ht="13.2" customHeight="1" x14ac:dyDescent="0.45">
      <c r="A6" s="18"/>
      <c r="B6" s="18"/>
      <c r="C6" s="19"/>
      <c r="D6" s="18"/>
      <c r="E6" s="18"/>
      <c r="F6" s="18"/>
      <c r="G6" s="19"/>
      <c r="H6" s="18"/>
      <c r="I6" s="20"/>
      <c r="L6" s="125"/>
    </row>
    <row r="7" spans="1:20" ht="13.2" customHeight="1" x14ac:dyDescent="0.45">
      <c r="A7" s="18"/>
      <c r="B7" s="18" t="s">
        <v>191</v>
      </c>
      <c r="C7" s="22"/>
      <c r="D7" s="18" t="s">
        <v>145</v>
      </c>
      <c r="E7" s="18" t="s">
        <v>147</v>
      </c>
      <c r="F7" s="18" t="s">
        <v>192</v>
      </c>
      <c r="G7" s="18"/>
      <c r="H7" s="18"/>
      <c r="I7" s="20"/>
      <c r="J7" s="154" t="s">
        <v>148</v>
      </c>
      <c r="L7" s="126"/>
      <c r="M7" s="126"/>
      <c r="N7" s="126"/>
      <c r="P7" s="165" t="s">
        <v>149</v>
      </c>
    </row>
    <row r="8" spans="1:20" ht="13.2" customHeight="1" x14ac:dyDescent="0.45">
      <c r="A8" s="36" t="s">
        <v>152</v>
      </c>
      <c r="B8" s="39" t="s">
        <v>154</v>
      </c>
      <c r="C8" s="36" t="s">
        <v>43</v>
      </c>
      <c r="D8" s="36" t="s">
        <v>150</v>
      </c>
      <c r="E8" s="36" t="s">
        <v>155</v>
      </c>
      <c r="F8" s="36" t="s">
        <v>154</v>
      </c>
      <c r="G8" s="37" t="s">
        <v>153</v>
      </c>
      <c r="H8" s="36" t="s">
        <v>50</v>
      </c>
      <c r="I8" s="20"/>
      <c r="J8" s="158" t="s">
        <v>152</v>
      </c>
      <c r="K8" s="158" t="s">
        <v>156</v>
      </c>
      <c r="L8" s="159" t="s">
        <v>153</v>
      </c>
      <c r="M8" s="158" t="s">
        <v>157</v>
      </c>
      <c r="N8" s="160" t="s">
        <v>158</v>
      </c>
      <c r="O8" s="161"/>
      <c r="P8" s="162" t="s">
        <v>152</v>
      </c>
      <c r="Q8" s="162" t="s">
        <v>156</v>
      </c>
      <c r="R8" s="163" t="s">
        <v>153</v>
      </c>
      <c r="S8" s="162" t="s">
        <v>157</v>
      </c>
      <c r="T8" s="164" t="s">
        <v>158</v>
      </c>
    </row>
    <row r="9" spans="1:20" ht="13.2" customHeight="1" x14ac:dyDescent="0.45">
      <c r="A9" s="25" t="s">
        <v>53</v>
      </c>
      <c r="B9" s="25">
        <v>6</v>
      </c>
      <c r="C9" s="25" t="s">
        <v>51</v>
      </c>
      <c r="D9" s="25">
        <v>2</v>
      </c>
      <c r="E9" s="25" t="s">
        <v>55</v>
      </c>
      <c r="F9" s="42" t="s">
        <v>52</v>
      </c>
      <c r="G9" s="22" t="s">
        <v>54</v>
      </c>
      <c r="H9" s="67">
        <f ca="1">N9</f>
        <v>58.57229348201701</v>
      </c>
      <c r="I9" s="20"/>
      <c r="J9" s="125" t="str">
        <f>A9</f>
        <v>03860C</v>
      </c>
      <c r="K9" s="125" t="s">
        <v>160</v>
      </c>
      <c r="L9" s="177" t="str">
        <f>G9</f>
        <v>Electrician</v>
      </c>
      <c r="M9" s="125" t="str">
        <f>F9</f>
        <v>01</v>
      </c>
      <c r="N9" s="130" cm="1">
        <f t="array" aca="1" ref="N9" ca="1">IF(K9="Y",VLOOKUP(J9,INDIRECT($K$2),5,0)*INDIRECT($J$3)+$K$4,VLOOKUP(J9,INDIRECT($K$2),5,0))</f>
        <v>58.57229348201701</v>
      </c>
      <c r="O9" s="135"/>
      <c r="P9" s="62" t="str">
        <f t="shared" ref="P9:S11" si="0">J9</f>
        <v>03860C</v>
      </c>
      <c r="Q9" s="62" t="str">
        <f t="shared" si="0"/>
        <v>Y</v>
      </c>
      <c r="R9" s="62" t="str">
        <f t="shared" si="0"/>
        <v>Electrician</v>
      </c>
      <c r="S9" s="47" t="str">
        <f t="shared" si="0"/>
        <v>01</v>
      </c>
      <c r="T9" s="48">
        <f ca="1">ROUND(N9,3)</f>
        <v>58.572000000000003</v>
      </c>
    </row>
    <row r="10" spans="1:20" ht="13.2" customHeight="1" x14ac:dyDescent="0.45">
      <c r="A10" s="25" t="s">
        <v>57</v>
      </c>
      <c r="B10" s="25">
        <v>8</v>
      </c>
      <c r="C10" s="25" t="s">
        <v>51</v>
      </c>
      <c r="D10" s="25">
        <v>2</v>
      </c>
      <c r="E10" s="25" t="s">
        <v>55</v>
      </c>
      <c r="F10" s="42" t="s">
        <v>56</v>
      </c>
      <c r="G10" s="22" t="s">
        <v>58</v>
      </c>
      <c r="H10" s="67">
        <f ca="1">N10</f>
        <v>62.126443574183192</v>
      </c>
      <c r="I10" s="20"/>
      <c r="J10" s="125" t="str">
        <f>A10</f>
        <v>04600C</v>
      </c>
      <c r="K10" s="125" t="s">
        <v>160</v>
      </c>
      <c r="L10" s="177" t="str">
        <f>G10</f>
        <v>Foreman, Electrician</v>
      </c>
      <c r="M10" s="125" t="str">
        <f>F10</f>
        <v>02</v>
      </c>
      <c r="N10" s="130" cm="1">
        <f t="array" aca="1" ref="N10" ca="1">IF(K10="Y",VLOOKUP(J10,INDIRECT($K$2),5,0)*INDIRECT($J$3)+$K$4,VLOOKUP(J10,INDIRECT($K$2),5,0))</f>
        <v>62.126443574183192</v>
      </c>
      <c r="O10" s="135"/>
      <c r="P10" s="62" t="str">
        <f t="shared" si="0"/>
        <v>04600C</v>
      </c>
      <c r="Q10" s="62" t="str">
        <f t="shared" si="0"/>
        <v>Y</v>
      </c>
      <c r="R10" s="62" t="str">
        <f t="shared" si="0"/>
        <v>Foreman, Electrician</v>
      </c>
      <c r="S10" s="47" t="str">
        <f t="shared" si="0"/>
        <v>02</v>
      </c>
      <c r="T10" s="48">
        <f t="shared" ref="T10:T11" ca="1" si="1">ROUND(N10,3)</f>
        <v>62.125999999999998</v>
      </c>
    </row>
    <row r="11" spans="1:20" ht="13.2" customHeight="1" x14ac:dyDescent="0.45">
      <c r="A11" s="25" t="s">
        <v>60</v>
      </c>
      <c r="B11" s="25">
        <v>8</v>
      </c>
      <c r="C11" s="25" t="s">
        <v>51</v>
      </c>
      <c r="D11" s="25">
        <v>2</v>
      </c>
      <c r="E11" s="25" t="s">
        <v>55</v>
      </c>
      <c r="F11" s="42" t="s">
        <v>59</v>
      </c>
      <c r="G11" s="22" t="s">
        <v>61</v>
      </c>
      <c r="H11" s="67">
        <f ca="1">N11</f>
        <v>63.90362649142137</v>
      </c>
      <c r="I11" s="20"/>
      <c r="J11" s="125" t="str">
        <f>A11</f>
        <v>04605C</v>
      </c>
      <c r="K11" s="125" t="s">
        <v>160</v>
      </c>
      <c r="L11" s="177" t="str">
        <f>G11</f>
        <v xml:space="preserve">Foreman, (Master) Electrician </v>
      </c>
      <c r="M11" s="125" t="str">
        <f>F11</f>
        <v>03</v>
      </c>
      <c r="N11" s="130" cm="1">
        <f t="array" aca="1" ref="N11" ca="1">IF(K11="Y",VLOOKUP(J11,INDIRECT($K$2),5,0)*INDIRECT($J$3)+$K$4,VLOOKUP(J11,INDIRECT($K$2),5,0))</f>
        <v>63.90362649142137</v>
      </c>
      <c r="O11" s="135"/>
      <c r="P11" s="62" t="str">
        <f t="shared" si="0"/>
        <v>04605C</v>
      </c>
      <c r="Q11" s="62" t="str">
        <f t="shared" si="0"/>
        <v>Y</v>
      </c>
      <c r="R11" s="62" t="str">
        <f t="shared" si="0"/>
        <v xml:space="preserve">Foreman, (Master) Electrician </v>
      </c>
      <c r="S11" s="47" t="str">
        <f t="shared" si="0"/>
        <v>03</v>
      </c>
      <c r="T11" s="48">
        <f t="shared" ca="1" si="1"/>
        <v>63.904000000000003</v>
      </c>
    </row>
    <row r="12" spans="1:20" ht="13.2" customHeight="1" x14ac:dyDescent="0.45">
      <c r="A12" s="25" t="s">
        <v>63</v>
      </c>
      <c r="B12" s="25">
        <v>10</v>
      </c>
      <c r="C12" s="25" t="s">
        <v>51</v>
      </c>
      <c r="D12" s="25">
        <v>2</v>
      </c>
      <c r="E12" s="25" t="s">
        <v>55</v>
      </c>
      <c r="F12" s="42" t="s">
        <v>62</v>
      </c>
      <c r="G12" s="22" t="s">
        <v>64</v>
      </c>
      <c r="H12" s="67">
        <f ca="1">N12</f>
        <v>65.680809408659584</v>
      </c>
      <c r="I12" s="20"/>
      <c r="J12" s="125" t="str">
        <f>A12</f>
        <v>05140C</v>
      </c>
      <c r="K12" s="125" t="s">
        <v>160</v>
      </c>
      <c r="L12" s="156" t="str">
        <f>G12</f>
        <v>*General Foreman, Electrician</v>
      </c>
      <c r="M12" s="155" t="str">
        <f>F12</f>
        <v>CSU N42</v>
      </c>
      <c r="N12" s="167" cm="1">
        <f t="array" aca="1" ref="N12" ca="1">IF(K12="Y",VLOOKUP(J12,INDIRECT($K$2),5,0)*INDIRECT($J$3),VLOOKUP(J12,INDIRECT($K$2),5,0))</f>
        <v>65.680809408659584</v>
      </c>
      <c r="O12" s="171"/>
      <c r="T12" s="48"/>
    </row>
    <row r="13" spans="1:20" ht="13.2" customHeight="1" x14ac:dyDescent="0.45">
      <c r="A13" s="25" t="s">
        <v>99</v>
      </c>
      <c r="B13" s="25">
        <v>10</v>
      </c>
      <c r="C13" s="25" t="s">
        <v>51</v>
      </c>
      <c r="D13" s="25">
        <v>2</v>
      </c>
      <c r="E13" s="25" t="s">
        <v>55</v>
      </c>
      <c r="F13" s="42" t="s">
        <v>62</v>
      </c>
      <c r="G13" s="22" t="s">
        <v>100</v>
      </c>
      <c r="H13" s="67">
        <f ca="1">N13</f>
        <v>65.680809408659584</v>
      </c>
      <c r="I13" s="20"/>
      <c r="J13" s="121" t="s">
        <v>99</v>
      </c>
      <c r="K13" s="121" t="s">
        <v>160</v>
      </c>
      <c r="L13" s="156" t="str">
        <f>G13</f>
        <v>*Supervisor Water Plant Electrical and Control Systems</v>
      </c>
      <c r="M13" s="155" t="str">
        <f>F13</f>
        <v>CSU N42</v>
      </c>
      <c r="N13" s="167" cm="1">
        <f t="array" aca="1" ref="N13" ca="1">IF(K13="Y",VLOOKUP(J13,INDIRECT($K$2),5,0)*INDIRECT($J$3),VLOOKUP(J13,INDIRECT($K$2),5,0))</f>
        <v>65.680809408659584</v>
      </c>
      <c r="O13" s="171"/>
      <c r="T13" s="48"/>
    </row>
    <row r="14" spans="1:20" ht="13.2" customHeight="1" x14ac:dyDescent="0.45">
      <c r="A14" s="25"/>
      <c r="B14" s="25"/>
      <c r="C14" s="25"/>
      <c r="D14" s="25"/>
      <c r="F14" s="25"/>
      <c r="G14" s="22"/>
      <c r="I14" s="20"/>
      <c r="J14" s="125"/>
      <c r="K14" s="125"/>
      <c r="L14" s="157" t="s">
        <v>232</v>
      </c>
      <c r="M14" s="166"/>
      <c r="N14" s="167"/>
      <c r="O14" s="166"/>
    </row>
    <row r="15" spans="1:20" ht="13.2" customHeight="1" x14ac:dyDescent="0.45">
      <c r="A15" s="18"/>
      <c r="B15" s="18"/>
      <c r="C15" s="18"/>
      <c r="D15" s="18"/>
      <c r="E15" s="32"/>
      <c r="F15" s="22" t="s">
        <v>101</v>
      </c>
      <c r="H15" s="18"/>
      <c r="I15" s="20"/>
      <c r="J15" s="125"/>
      <c r="K15" s="125"/>
      <c r="L15" s="125"/>
      <c r="M15" s="125"/>
    </row>
    <row r="16" spans="1:20" ht="13.2" customHeight="1" x14ac:dyDescent="0.45">
      <c r="A16" s="1" t="s">
        <v>66</v>
      </c>
      <c r="E16" s="2"/>
      <c r="H16" s="2"/>
      <c r="I16" s="3"/>
      <c r="J16" s="129"/>
      <c r="K16" s="129"/>
      <c r="L16" s="129"/>
      <c r="M16" s="129"/>
      <c r="N16" s="130"/>
    </row>
    <row r="17" spans="1:20" ht="13.2" customHeight="1" x14ac:dyDescent="0.45">
      <c r="A17" s="8" t="s">
        <v>67</v>
      </c>
      <c r="H17" s="6"/>
      <c r="I17" s="3"/>
      <c r="J17" s="129"/>
      <c r="K17" s="129"/>
      <c r="L17" s="129"/>
      <c r="M17" s="129"/>
      <c r="N17" s="130"/>
    </row>
    <row r="18" spans="1:20" ht="13.2" customHeight="1" x14ac:dyDescent="0.45">
      <c r="A18" s="144">
        <f ca="1">N18</f>
        <v>0.33685406499012954</v>
      </c>
      <c r="B18" s="5" t="s">
        <v>68</v>
      </c>
      <c r="I18" s="12"/>
      <c r="J18" s="129" t="s">
        <v>69</v>
      </c>
      <c r="K18" s="129" t="s">
        <v>160</v>
      </c>
      <c r="L18" s="124" t="s">
        <v>102</v>
      </c>
      <c r="M18" s="130"/>
      <c r="N18" s="130" cm="1">
        <f t="array" aca="1" ref="N18" ca="1">IF(K18="Y",VLOOKUP(J18,INDIRECT($K$2),5,0)*INDIRECT($J$3),VLOOKUP(J18,INDIRECT($K$2),5,0))</f>
        <v>0.33685406499012954</v>
      </c>
      <c r="P18" s="62" t="str">
        <f t="shared" ref="P18:R21" si="2">J18</f>
        <v>LNG10</v>
      </c>
      <c r="Q18" s="62" t="str">
        <f t="shared" si="2"/>
        <v>Y</v>
      </c>
      <c r="R18" s="62" t="str">
        <f t="shared" si="2"/>
        <v>Longevity - 10 years</v>
      </c>
      <c r="T18" s="48">
        <f t="shared" ref="T18:T21" ca="1" si="3">ROUND(N18,3)</f>
        <v>0.33700000000000002</v>
      </c>
    </row>
    <row r="19" spans="1:20" ht="13.2" customHeight="1" x14ac:dyDescent="0.45">
      <c r="A19" s="144">
        <f ca="1">N19</f>
        <v>0.46542431880315616</v>
      </c>
      <c r="B19" s="5" t="s">
        <v>70</v>
      </c>
      <c r="I19" s="12"/>
      <c r="J19" s="129" t="s">
        <v>71</v>
      </c>
      <c r="K19" s="129" t="s">
        <v>160</v>
      </c>
      <c r="L19" s="124" t="s">
        <v>103</v>
      </c>
      <c r="M19" s="130"/>
      <c r="N19" s="130" cm="1">
        <f t="array" aca="1" ref="N19" ca="1">IF(K19="Y",VLOOKUP(J19,INDIRECT($K$2),5,0)*INDIRECT($J$3),VLOOKUP(J19,INDIRECT($K$2),5,0))</f>
        <v>0.46542431880315616</v>
      </c>
      <c r="P19" s="62" t="str">
        <f t="shared" si="2"/>
        <v>LNG15</v>
      </c>
      <c r="Q19" s="62" t="str">
        <f t="shared" si="2"/>
        <v>Y</v>
      </c>
      <c r="R19" s="62" t="str">
        <f t="shared" si="2"/>
        <v>Longevity - 15 years</v>
      </c>
      <c r="T19" s="48">
        <f t="shared" ca="1" si="3"/>
        <v>0.46500000000000002</v>
      </c>
    </row>
    <row r="20" spans="1:20" ht="13.2" customHeight="1" x14ac:dyDescent="0.45">
      <c r="A20" s="144">
        <f ca="1">N20</f>
        <v>0.74185036450116315</v>
      </c>
      <c r="B20" s="5" t="s">
        <v>72</v>
      </c>
      <c r="I20" s="12"/>
      <c r="J20" s="129" t="s">
        <v>73</v>
      </c>
      <c r="K20" s="129" t="s">
        <v>160</v>
      </c>
      <c r="L20" s="124" t="s">
        <v>104</v>
      </c>
      <c r="M20" s="130"/>
      <c r="N20" s="130" cm="1">
        <f t="array" aca="1" ref="N20" ca="1">IF(K20="Y",VLOOKUP(J20,INDIRECT($K$2),5,0)*INDIRECT($J$3),VLOOKUP(J20,INDIRECT($K$2),5,0))</f>
        <v>0.74185036450116315</v>
      </c>
      <c r="P20" s="62" t="str">
        <f t="shared" si="2"/>
        <v>LNG20</v>
      </c>
      <c r="Q20" s="62" t="str">
        <f t="shared" si="2"/>
        <v>Y</v>
      </c>
      <c r="R20" s="62" t="str">
        <f t="shared" si="2"/>
        <v>Longevity - 20 years</v>
      </c>
      <c r="T20" s="48">
        <f t="shared" ca="1" si="3"/>
        <v>0.74199999999999999</v>
      </c>
    </row>
    <row r="21" spans="1:20" ht="13.2" customHeight="1" x14ac:dyDescent="0.45">
      <c r="A21" s="144">
        <f ca="1">N21</f>
        <v>1.1121326954826798</v>
      </c>
      <c r="B21" s="5" t="s">
        <v>74</v>
      </c>
      <c r="I21" s="12"/>
      <c r="J21" s="129" t="s">
        <v>75</v>
      </c>
      <c r="K21" s="129" t="s">
        <v>160</v>
      </c>
      <c r="L21" s="124" t="s">
        <v>105</v>
      </c>
      <c r="M21" s="130"/>
      <c r="N21" s="130" cm="1">
        <f t="array" aca="1" ref="N21" ca="1">IF(K21="Y",VLOOKUP(J21,INDIRECT($K$2),5,0)*INDIRECT($J$3),VLOOKUP(J21,INDIRECT($K$2),5,0))</f>
        <v>1.1121326954826798</v>
      </c>
      <c r="P21" s="62" t="str">
        <f t="shared" si="2"/>
        <v>LNG25</v>
      </c>
      <c r="Q21" s="62" t="str">
        <f t="shared" si="2"/>
        <v>Y</v>
      </c>
      <c r="R21" s="62" t="str">
        <f t="shared" si="2"/>
        <v>Longevity - 25 years</v>
      </c>
      <c r="T21" s="48">
        <f t="shared" ca="1" si="3"/>
        <v>1.1120000000000001</v>
      </c>
    </row>
    <row r="22" spans="1:20" ht="13.2" customHeight="1" x14ac:dyDescent="0.45"/>
    <row r="23" spans="1:20" ht="13.2" customHeight="1" x14ac:dyDescent="0.45">
      <c r="A23" s="1" t="s">
        <v>76</v>
      </c>
    </row>
    <row r="24" spans="1:20" ht="13.2" customHeight="1" x14ac:dyDescent="0.45">
      <c r="A24" s="46" t="str">
        <f ca="1">"Provided that a night shift differential of "&amp;TEXT(N24,"$#.000")&amp;" per hour for each hour, or fraction thereof, they"</f>
        <v>Provided that a night shift differential of $2.730 per hour for each hour, or fraction thereof, they</v>
      </c>
      <c r="H24" s="19"/>
      <c r="J24" s="121" t="s">
        <v>79</v>
      </c>
      <c r="K24" s="129" t="s">
        <v>160</v>
      </c>
      <c r="L24" s="124" t="s">
        <v>106</v>
      </c>
      <c r="M24" s="129"/>
      <c r="N24" s="130" cm="1">
        <f t="array" aca="1" ref="N24" ca="1">IF(K24="Y",VLOOKUP(J24,INDIRECT($K$2),5,0)*INDIRECT($J$3),VLOOKUP(J24,INDIRECT($K$2),5,0))</f>
        <v>2.7297530067108977</v>
      </c>
      <c r="P24" s="62" t="str">
        <f t="shared" ref="P24:R25" si="4">J24</f>
        <v>CELEVE</v>
      </c>
      <c r="Q24" s="62" t="str">
        <f t="shared" si="4"/>
        <v>Y</v>
      </c>
      <c r="R24" s="62" t="str">
        <f t="shared" si="4"/>
        <v>TL-Evening Shift Premium-CEL</v>
      </c>
      <c r="T24" s="48">
        <f t="shared" ref="T24:T25" ca="1" si="5">ROUND(N24,3)</f>
        <v>2.73</v>
      </c>
    </row>
    <row r="25" spans="1:20" ht="13.2" customHeight="1" x14ac:dyDescent="0.45">
      <c r="A25" s="46" t="s">
        <v>80</v>
      </c>
      <c r="J25" s="121" t="s">
        <v>81</v>
      </c>
      <c r="K25" s="129" t="s">
        <v>160</v>
      </c>
      <c r="L25" s="124" t="s">
        <v>107</v>
      </c>
      <c r="M25" s="129"/>
      <c r="N25" s="130" cm="1">
        <f t="array" aca="1" ref="N25" ca="1">IF(K25="Y",VLOOKUP(J25,INDIRECT($K$2),5,0)*INDIRECT($J$3),VLOOKUP(J25,INDIRECT($K$2),5,0))</f>
        <v>2.7297530067108977</v>
      </c>
      <c r="P25" s="62" t="str">
        <f t="shared" si="4"/>
        <v>CELSGT</v>
      </c>
      <c r="Q25" s="62" t="str">
        <f t="shared" si="4"/>
        <v>Y</v>
      </c>
      <c r="R25" s="62" t="str">
        <f t="shared" si="4"/>
        <v>TL-Signal Truck Premium-CEL</v>
      </c>
      <c r="T25" s="48">
        <f t="shared" ca="1" si="5"/>
        <v>2.73</v>
      </c>
    </row>
    <row r="26" spans="1:20" ht="13.2" customHeight="1" x14ac:dyDescent="0.45">
      <c r="A26" s="46" t="s">
        <v>82</v>
      </c>
    </row>
    <row r="27" spans="1:20" ht="13.2" customHeight="1" x14ac:dyDescent="0.45">
      <c r="A27" s="46"/>
    </row>
    <row r="28" spans="1:20" ht="13.2" customHeight="1" x14ac:dyDescent="0.45">
      <c r="A28" s="46" t="str">
        <f ca="1">"Provided that a weekend shift differential of "&amp;TEXT(N28,"$#.000")&amp;" per hour shall be paid to employees who work"</f>
        <v>Provided that a weekend shift differential of $1.851 per hour shall be paid to employees who work</v>
      </c>
      <c r="H28" s="19"/>
      <c r="J28" s="121" t="s">
        <v>85</v>
      </c>
      <c r="K28" s="129" t="s">
        <v>160</v>
      </c>
      <c r="L28" s="124" t="s">
        <v>108</v>
      </c>
      <c r="M28" s="129"/>
      <c r="N28" s="130" cm="1">
        <f t="array" aca="1" ref="N28" ca="1">IF(K28="Y",VLOOKUP(J28,INDIRECT($K$2),5,0)*INDIRECT($J$3),VLOOKUP(J28,INDIRECT($K$2),5,0))</f>
        <v>1.8509216817059417</v>
      </c>
      <c r="P28" s="62" t="str">
        <f>J28</f>
        <v>CELWKE</v>
      </c>
      <c r="Q28" s="62" t="str">
        <f>K28</f>
        <v>Y</v>
      </c>
      <c r="R28" s="62" t="str">
        <f>L28</f>
        <v>TL-Wkend Shift dif CEL</v>
      </c>
      <c r="T28" s="48">
        <f t="shared" ref="T28" ca="1" si="6">ROUND(N28,3)</f>
        <v>1.851</v>
      </c>
    </row>
    <row r="29" spans="1:20" ht="13.2" customHeight="1" x14ac:dyDescent="0.45">
      <c r="A29" s="46" t="s">
        <v>86</v>
      </c>
    </row>
    <row r="30" spans="1:20" ht="13.2" customHeight="1" x14ac:dyDescent="0.45">
      <c r="G30" s="19"/>
    </row>
    <row r="31" spans="1:20" ht="13.2" customHeight="1" x14ac:dyDescent="0.45">
      <c r="A31" s="68" t="str">
        <f ca="1">"Provided that a premium of "&amp;TEXT(N31,"$#.000")&amp;" per hour shall be paid to employees for hours worked while performing welding work."</f>
        <v>Provided that a premium of $2.090 per hour shall be paid to employees for hours worked while performing welding work.</v>
      </c>
      <c r="B31" s="3"/>
      <c r="J31" s="129" t="s">
        <v>136</v>
      </c>
      <c r="K31" s="129" t="s">
        <v>160</v>
      </c>
      <c r="L31" s="124" t="s">
        <v>137</v>
      </c>
      <c r="M31" s="129"/>
      <c r="N31" s="130" cm="1">
        <f t="array" aca="1" ref="N31" ca="1">IF(K31="Y",VLOOKUP(J31,INDIRECT($K$2),5,0)*INDIRECT($J$3),VLOOKUP(J31,INDIRECT($K$2),5,0))</f>
        <v>2.0903999999999998</v>
      </c>
      <c r="P31" s="62" t="str">
        <f>J31</f>
        <v>CELWLD</v>
      </c>
      <c r="Q31" s="62" t="str">
        <f>K31</f>
        <v>Y</v>
      </c>
      <c r="R31" s="62" t="str">
        <f>L31</f>
        <v>Welding premium - add to COMET</v>
      </c>
      <c r="T31" s="48">
        <f t="shared" ref="T31" ca="1" si="7">ROUND(N31,3)</f>
        <v>2.09</v>
      </c>
    </row>
    <row r="32" spans="1:20" ht="13.2" customHeight="1" x14ac:dyDescent="0.45">
      <c r="A32" s="68"/>
      <c r="B32" s="3"/>
      <c r="J32" s="129"/>
      <c r="K32" s="129"/>
      <c r="L32" s="129"/>
      <c r="M32" s="129"/>
      <c r="N32" s="130"/>
    </row>
    <row r="33" spans="1:20" s="12" customFormat="1" x14ac:dyDescent="0.45">
      <c r="A33" s="12" t="s">
        <v>109</v>
      </c>
      <c r="J33" s="129"/>
      <c r="K33" s="129"/>
      <c r="L33" s="124"/>
      <c r="M33" s="129"/>
      <c r="N33" s="145"/>
      <c r="O33" s="133"/>
      <c r="P33" s="62"/>
      <c r="Q33" s="62"/>
      <c r="R33" s="62"/>
      <c r="S33" s="47"/>
      <c r="T33" s="146"/>
    </row>
    <row r="34" spans="1:20" s="12" customFormat="1" x14ac:dyDescent="0.45">
      <c r="A34" s="68" t="s">
        <v>111</v>
      </c>
      <c r="J34" s="129"/>
      <c r="K34" s="129"/>
      <c r="L34" s="124"/>
      <c r="M34" s="129"/>
      <c r="N34" s="145"/>
      <c r="O34" s="133"/>
      <c r="P34" s="62"/>
      <c r="Q34" s="62"/>
      <c r="R34" s="62"/>
      <c r="S34" s="47"/>
      <c r="T34" s="146"/>
    </row>
    <row r="35" spans="1:20" s="3" customFormat="1" x14ac:dyDescent="0.45">
      <c r="A35" s="68" t="s">
        <v>113</v>
      </c>
      <c r="J35" s="129"/>
      <c r="K35" s="129"/>
      <c r="L35" s="149"/>
      <c r="M35" s="129"/>
      <c r="N35" s="131"/>
      <c r="O35" s="134"/>
      <c r="P35" s="53"/>
      <c r="Q35" s="53"/>
      <c r="R35" s="53"/>
      <c r="S35" s="49"/>
      <c r="T35" s="49"/>
    </row>
    <row r="36" spans="1:20" s="3" customFormat="1" x14ac:dyDescent="0.45">
      <c r="A36" s="68" t="s">
        <v>114</v>
      </c>
      <c r="J36" s="129"/>
      <c r="K36" s="129"/>
      <c r="L36" s="129"/>
      <c r="M36" s="129"/>
      <c r="N36" s="131"/>
      <c r="O36" s="134"/>
      <c r="P36" s="53"/>
      <c r="Q36" s="53"/>
      <c r="R36" s="53"/>
      <c r="S36" s="49"/>
      <c r="T36" s="49"/>
    </row>
    <row r="37" spans="1:20" s="3" customFormat="1" x14ac:dyDescent="0.45">
      <c r="A37" s="68" t="s">
        <v>115</v>
      </c>
      <c r="J37" s="134"/>
      <c r="K37" s="134"/>
      <c r="L37" s="129"/>
      <c r="M37" s="134"/>
      <c r="N37" s="131"/>
      <c r="O37" s="134"/>
      <c r="P37" s="53"/>
      <c r="Q37" s="53"/>
      <c r="R37" s="53"/>
      <c r="S37" s="49"/>
      <c r="T37" s="49"/>
    </row>
    <row r="38" spans="1:20" s="3" customFormat="1" x14ac:dyDescent="0.45">
      <c r="J38" s="129"/>
      <c r="K38" s="129"/>
      <c r="L38" s="134"/>
      <c r="M38" s="129"/>
      <c r="N38" s="131"/>
      <c r="O38" s="134"/>
      <c r="P38" s="53"/>
      <c r="Q38" s="53"/>
      <c r="R38" s="53"/>
      <c r="S38" s="49"/>
      <c r="T38" s="49"/>
    </row>
    <row r="39" spans="1:20" s="3" customFormat="1" x14ac:dyDescent="0.45">
      <c r="J39" s="129"/>
      <c r="K39" s="129"/>
      <c r="L39" s="129"/>
      <c r="M39" s="129"/>
      <c r="N39" s="131"/>
      <c r="O39" s="134"/>
      <c r="P39" s="53"/>
      <c r="Q39" s="53"/>
      <c r="R39" s="53"/>
      <c r="S39" s="49"/>
      <c r="T39" s="49"/>
    </row>
    <row r="40" spans="1:20" s="3" customFormat="1" x14ac:dyDescent="0.45">
      <c r="J40" s="129"/>
      <c r="K40" s="129"/>
      <c r="L40" s="129"/>
      <c r="M40" s="129"/>
      <c r="N40" s="131"/>
      <c r="O40" s="134"/>
      <c r="P40" s="53"/>
      <c r="Q40" s="53"/>
      <c r="R40" s="53"/>
      <c r="S40" s="49"/>
      <c r="T40" s="49"/>
    </row>
    <row r="41" spans="1:20" s="3" customFormat="1" x14ac:dyDescent="0.45">
      <c r="A41" s="3" t="s">
        <v>234</v>
      </c>
      <c r="H41" s="3" t="s">
        <v>162</v>
      </c>
      <c r="J41" s="129"/>
      <c r="K41" s="129"/>
      <c r="L41" s="129"/>
      <c r="M41" s="129"/>
      <c r="N41" s="131"/>
      <c r="O41" s="134"/>
      <c r="P41" s="53"/>
      <c r="Q41" s="53"/>
      <c r="R41" s="53"/>
      <c r="S41" s="49"/>
      <c r="T41" s="49"/>
    </row>
    <row r="42" spans="1:20" s="3" customFormat="1" x14ac:dyDescent="0.45">
      <c r="J42" s="129"/>
      <c r="K42" s="129"/>
      <c r="L42" s="129"/>
      <c r="M42" s="129"/>
      <c r="N42" s="131"/>
      <c r="O42" s="134"/>
      <c r="P42" s="53"/>
      <c r="Q42" s="53"/>
      <c r="R42" s="53"/>
      <c r="S42" s="49"/>
      <c r="T42" s="49"/>
    </row>
    <row r="43" spans="1:20" s="3" customFormat="1" x14ac:dyDescent="0.45">
      <c r="J43" s="129"/>
      <c r="K43" s="129"/>
      <c r="L43" s="129"/>
      <c r="M43" s="129"/>
      <c r="N43" s="131"/>
      <c r="O43" s="134"/>
      <c r="P43" s="53"/>
      <c r="Q43" s="53"/>
      <c r="R43" s="53"/>
      <c r="S43" s="49"/>
      <c r="T43" s="49"/>
    </row>
    <row r="44" spans="1:20" s="3" customFormat="1" x14ac:dyDescent="0.45">
      <c r="J44" s="129"/>
      <c r="K44" s="129"/>
      <c r="L44" s="129"/>
      <c r="M44" s="129"/>
      <c r="N44" s="131"/>
      <c r="O44" s="134"/>
      <c r="P44" s="53"/>
      <c r="Q44" s="53"/>
      <c r="R44" s="53"/>
      <c r="S44" s="49"/>
      <c r="T44" s="49"/>
    </row>
    <row r="45" spans="1:20" s="3" customFormat="1" x14ac:dyDescent="0.45">
      <c r="J45" s="129"/>
      <c r="K45" s="129"/>
      <c r="L45" s="129"/>
      <c r="M45" s="129"/>
      <c r="N45" s="131"/>
      <c r="O45" s="134"/>
      <c r="P45" s="53"/>
      <c r="Q45" s="53"/>
      <c r="R45" s="53"/>
      <c r="S45" s="49"/>
      <c r="T45" s="49"/>
    </row>
    <row r="46" spans="1:20" s="3" customFormat="1" x14ac:dyDescent="0.45">
      <c r="A46" s="15"/>
      <c r="B46" s="15"/>
      <c r="C46" s="29"/>
      <c r="D46" s="14"/>
      <c r="E46" s="14"/>
      <c r="F46" s="15"/>
      <c r="G46" s="14"/>
      <c r="H46" s="14"/>
      <c r="I46" s="14"/>
      <c r="J46" s="132"/>
      <c r="K46" s="132"/>
      <c r="L46" s="132"/>
      <c r="M46" s="132"/>
      <c r="N46" s="131"/>
      <c r="O46" s="134"/>
      <c r="P46" s="53"/>
      <c r="Q46" s="53"/>
      <c r="R46" s="53"/>
      <c r="S46" s="49"/>
      <c r="T46" s="49"/>
    </row>
    <row r="47" spans="1:20" s="3" customFormat="1" x14ac:dyDescent="0.45">
      <c r="A47" s="14"/>
      <c r="B47" s="14"/>
      <c r="C47" s="14"/>
      <c r="D47" s="14"/>
      <c r="E47" s="14"/>
      <c r="F47" s="14"/>
      <c r="G47" s="14"/>
      <c r="H47" s="14"/>
      <c r="I47" s="14"/>
      <c r="J47" s="132"/>
      <c r="K47" s="132"/>
      <c r="L47" s="132"/>
      <c r="M47" s="132"/>
      <c r="N47" s="131"/>
      <c r="O47" s="134"/>
      <c r="P47" s="53"/>
      <c r="Q47" s="53"/>
      <c r="R47" s="53"/>
      <c r="S47" s="49"/>
      <c r="T47" s="49"/>
    </row>
    <row r="48" spans="1:20" s="17" customFormat="1" x14ac:dyDescent="0.45">
      <c r="A48" s="14"/>
      <c r="B48" s="14"/>
      <c r="C48" s="14"/>
      <c r="D48" s="14"/>
      <c r="E48" s="14"/>
      <c r="F48" s="14"/>
      <c r="G48" s="14"/>
      <c r="H48" s="14"/>
      <c r="I48" s="14"/>
      <c r="J48" s="132"/>
      <c r="K48" s="132"/>
      <c r="L48" s="132"/>
      <c r="M48" s="132"/>
      <c r="N48" s="131"/>
      <c r="O48" s="129"/>
      <c r="P48" s="49"/>
      <c r="Q48" s="49"/>
      <c r="R48" s="49"/>
      <c r="S48" s="49"/>
      <c r="T48" s="49"/>
    </row>
    <row r="49" spans="3:20" s="3" customFormat="1" x14ac:dyDescent="0.45">
      <c r="C49" s="17"/>
      <c r="D49" s="17"/>
      <c r="E49" s="17"/>
      <c r="H49" s="17"/>
      <c r="J49" s="129"/>
      <c r="K49" s="129"/>
      <c r="L49" s="129"/>
      <c r="M49" s="129"/>
      <c r="N49" s="131"/>
      <c r="O49" s="134"/>
      <c r="P49" s="53"/>
      <c r="Q49" s="53"/>
      <c r="R49" s="53"/>
      <c r="S49" s="49"/>
      <c r="T49" s="49"/>
    </row>
    <row r="50" spans="3:20" s="3" customFormat="1" x14ac:dyDescent="0.45">
      <c r="J50" s="129"/>
      <c r="K50" s="129"/>
      <c r="L50" s="129"/>
      <c r="M50" s="129"/>
      <c r="N50" s="131"/>
      <c r="O50" s="134"/>
      <c r="P50" s="53"/>
      <c r="Q50" s="53"/>
      <c r="R50" s="53"/>
      <c r="S50" s="49"/>
      <c r="T50" s="49"/>
    </row>
    <row r="51" spans="3:20" s="3" customFormat="1" x14ac:dyDescent="0.45">
      <c r="J51" s="129"/>
      <c r="K51" s="129"/>
      <c r="L51" s="129"/>
      <c r="M51" s="129"/>
      <c r="N51" s="131"/>
      <c r="O51" s="134"/>
      <c r="P51" s="53"/>
      <c r="Q51" s="53"/>
      <c r="R51" s="53"/>
      <c r="S51" s="49"/>
      <c r="T51" s="49"/>
    </row>
  </sheetData>
  <sheetProtection sheet="1" objects="1" scenarios="1"/>
  <mergeCells count="4">
    <mergeCell ref="L1:O1"/>
    <mergeCell ref="L3:O3"/>
    <mergeCell ref="L4:O4"/>
    <mergeCell ref="L5:O5"/>
  </mergeCells>
  <pageMargins left="0" right="0" top="1" bottom="0.5" header="0.5" footer="0.5"/>
  <pageSetup scale="94" fitToHeight="2" orientation="landscape" horizont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008A-BA66-40C5-AAB5-FE01C43DE78E}">
  <sheetPr>
    <pageSetUpPr fitToPage="1"/>
  </sheetPr>
  <dimension ref="A1:T51"/>
  <sheetViews>
    <sheetView showGridLines="0" zoomScaleNormal="100" workbookViewId="0">
      <selection activeCell="E18" sqref="E18"/>
    </sheetView>
  </sheetViews>
  <sheetFormatPr defaultColWidth="11.41015625" defaultRowHeight="13" x14ac:dyDescent="0.45"/>
  <cols>
    <col min="1" max="1" width="9.5859375" style="21" customWidth="1"/>
    <col min="2" max="2" width="14.1171875" style="21" customWidth="1"/>
    <col min="3" max="3" width="5.703125" style="21" bestFit="1" customWidth="1"/>
    <col min="4" max="4" width="13.87890625" style="21" customWidth="1"/>
    <col min="5" max="5" width="5.703125" style="21" bestFit="1" customWidth="1"/>
    <col min="6" max="6" width="24" style="21" customWidth="1"/>
    <col min="7" max="7" width="45.41015625" style="21" customWidth="1"/>
    <col min="8" max="8" width="7.41015625" style="25" bestFit="1" customWidth="1"/>
    <col min="9" max="9" width="38.41015625" style="25" hidden="1" customWidth="1"/>
    <col min="10" max="10" width="22.41015625" style="121" hidden="1" customWidth="1"/>
    <col min="11" max="11" width="13.29296875" style="121" hidden="1" customWidth="1"/>
    <col min="12" max="12" width="64.87890625" style="121" hidden="1" customWidth="1"/>
    <col min="13" max="13" width="8.29296875" style="121" hidden="1" customWidth="1"/>
    <col min="14" max="14" width="27.5859375" style="128" hidden="1" customWidth="1"/>
    <col min="15" max="15" width="43.87890625" style="124" hidden="1" customWidth="1"/>
    <col min="16" max="16" width="25.703125" style="62" hidden="1" customWidth="1"/>
    <col min="17" max="17" width="6.5859375" style="62" hidden="1" customWidth="1"/>
    <col min="18" max="18" width="45.5859375" style="62" hidden="1" customWidth="1"/>
    <col min="19" max="19" width="8.5859375" style="47" hidden="1" customWidth="1"/>
    <col min="20" max="20" width="27.5859375" style="47" hidden="1" customWidth="1"/>
    <col min="21" max="16384" width="11.41015625" style="21"/>
  </cols>
  <sheetData>
    <row r="1" spans="1:20" x14ac:dyDescent="0.45">
      <c r="A1" s="21" t="s">
        <v>138</v>
      </c>
      <c r="J1" s="119" t="s">
        <v>185</v>
      </c>
      <c r="K1" s="173">
        <v>46023</v>
      </c>
      <c r="L1" s="187" t="s">
        <v>196</v>
      </c>
      <c r="M1" s="187"/>
      <c r="N1" s="187"/>
      <c r="O1" s="187"/>
    </row>
    <row r="2" spans="1:20" x14ac:dyDescent="0.45">
      <c r="A2" s="72" t="s">
        <v>186</v>
      </c>
      <c r="B2" s="72"/>
      <c r="J2" s="177" t="s">
        <v>187</v>
      </c>
      <c r="K2" s="176" t="str">
        <f>"Data"&amp;VLOOKUP(MONTH(K1),Months,2,0)&amp;YEAR(K1)</f>
        <v>DataJan2026</v>
      </c>
      <c r="L2" s="178" t="str">
        <f>"9. Enter effective date in cell B3; 10. Enter General Increase % in cell C3; 11. Enter any adjustment % in cell E3. 12. Enter adjustment type in cell F3"</f>
        <v>9. Enter effective date in cell B3; 10. Enter General Increase % in cell C3; 11. Enter any adjustment % in cell E3. 12. Enter adjustment type in cell F3</v>
      </c>
      <c r="M2" s="169"/>
      <c r="N2" s="170"/>
      <c r="O2" s="168"/>
    </row>
    <row r="3" spans="1:20" ht="13.2" customHeight="1" x14ac:dyDescent="0.45">
      <c r="A3" s="19" t="s">
        <v>188</v>
      </c>
      <c r="B3" s="151">
        <v>46388</v>
      </c>
      <c r="C3" s="152">
        <v>0.03</v>
      </c>
      <c r="D3" s="19" t="s">
        <v>189</v>
      </c>
      <c r="E3" s="152">
        <v>5.0000000000000001E-3</v>
      </c>
      <c r="F3" s="19" t="s">
        <v>197</v>
      </c>
      <c r="G3" s="19"/>
      <c r="H3" s="18"/>
      <c r="I3" s="20"/>
      <c r="J3" s="176" t="str">
        <f>"IncrPerc"&amp;VLOOKUP(MONTH(B3),Months,2,0)&amp;YEAR(B3)</f>
        <v>IncrPercJan2027</v>
      </c>
      <c r="K3" s="172">
        <f>(C3+1)*(E3+1)</f>
        <v>1.03515</v>
      </c>
      <c r="L3" s="187" t="str">
        <f>"13. Name cell K3: "&amp;"IncrPerc"&amp;VLOOKUP(MONTH(B3),Months,2,0)&amp;YEAR(B3)&amp;" 14. Name cells J10:O33 in previous tab: "&amp;"Data"&amp;VLOOKUP(MONTH($K$1),Months,2,0)&amp;YEAR($K$1)</f>
        <v>13. Name cell K3: IncrPercJan2027 14. Name cells J10:O33 in previous tab: DataJan2026</v>
      </c>
      <c r="M3" s="187"/>
      <c r="N3" s="187"/>
      <c r="O3" s="187"/>
    </row>
    <row r="4" spans="1:20" ht="13.2" customHeight="1" x14ac:dyDescent="0.45">
      <c r="A4" s="22" t="s">
        <v>231</v>
      </c>
      <c r="B4" s="22"/>
      <c r="C4" s="18"/>
      <c r="D4" s="18"/>
      <c r="F4" s="18"/>
      <c r="G4" s="19"/>
      <c r="H4" s="18"/>
      <c r="I4" s="20"/>
      <c r="J4" s="121" t="s">
        <v>190</v>
      </c>
      <c r="K4" s="145">
        <v>0</v>
      </c>
      <c r="L4" s="188" t="str">
        <f>"15. Add any additional shoe allowance to K4"</f>
        <v>15. Add any additional shoe allowance to K4</v>
      </c>
      <c r="M4" s="188"/>
      <c r="N4" s="188"/>
      <c r="O4" s="188"/>
    </row>
    <row r="5" spans="1:20" ht="13.2" customHeight="1" x14ac:dyDescent="0.45">
      <c r="B5" s="22"/>
      <c r="C5" s="18"/>
      <c r="D5" s="18"/>
      <c r="F5" s="18"/>
      <c r="G5" s="19"/>
      <c r="H5" s="18"/>
      <c r="I5" s="20"/>
      <c r="J5" s="177"/>
      <c r="K5" s="124"/>
      <c r="L5" s="189" t="str">
        <f>"16. In Formulas - Name Manager, find "&amp;"IncrPerc"&amp;VLOOKUP(MONTH(K1),Months,2,0)&amp;YEAR(K1)&amp;" referring to "&amp;"'"&amp;MONTH(B3)&amp;"-"&amp;DAY(B3)&amp;"-"&amp;YEAR(B3)&amp;"'!"&amp;"$K$3"&amp;" and delete it."</f>
        <v>16. In Formulas - Name Manager, find IncrPercJan2026 referring to '1-1-2027'!$K$3 and delete it.</v>
      </c>
      <c r="M5" s="189"/>
      <c r="N5" s="189"/>
      <c r="O5" s="189"/>
    </row>
    <row r="6" spans="1:20" ht="13.2" customHeight="1" x14ac:dyDescent="0.45">
      <c r="A6" s="18"/>
      <c r="B6" s="18"/>
      <c r="C6" s="19"/>
      <c r="D6" s="18"/>
      <c r="E6" s="18"/>
      <c r="F6" s="18"/>
      <c r="G6" s="19"/>
      <c r="H6" s="18"/>
      <c r="I6" s="20"/>
      <c r="L6" s="125"/>
    </row>
    <row r="7" spans="1:20" ht="13.2" customHeight="1" x14ac:dyDescent="0.45">
      <c r="A7" s="18"/>
      <c r="B7" s="18" t="s">
        <v>191</v>
      </c>
      <c r="C7" s="22"/>
      <c r="D7" s="18" t="s">
        <v>145</v>
      </c>
      <c r="E7" s="18" t="s">
        <v>147</v>
      </c>
      <c r="F7" s="18" t="s">
        <v>192</v>
      </c>
      <c r="G7" s="18"/>
      <c r="H7" s="18"/>
      <c r="I7" s="20"/>
      <c r="J7" s="154" t="s">
        <v>148</v>
      </c>
      <c r="L7" s="126"/>
      <c r="M7" s="126"/>
      <c r="N7" s="126"/>
      <c r="P7" s="165" t="s">
        <v>149</v>
      </c>
    </row>
    <row r="8" spans="1:20" ht="13.2" customHeight="1" x14ac:dyDescent="0.45">
      <c r="A8" s="36" t="s">
        <v>152</v>
      </c>
      <c r="B8" s="39" t="s">
        <v>154</v>
      </c>
      <c r="C8" s="36" t="s">
        <v>43</v>
      </c>
      <c r="D8" s="36" t="s">
        <v>150</v>
      </c>
      <c r="E8" s="36" t="s">
        <v>155</v>
      </c>
      <c r="F8" s="36" t="s">
        <v>154</v>
      </c>
      <c r="G8" s="37" t="s">
        <v>153</v>
      </c>
      <c r="H8" s="36" t="s">
        <v>50</v>
      </c>
      <c r="I8" s="20"/>
      <c r="J8" s="158" t="s">
        <v>152</v>
      </c>
      <c r="K8" s="158" t="s">
        <v>156</v>
      </c>
      <c r="L8" s="159" t="s">
        <v>153</v>
      </c>
      <c r="M8" s="158" t="s">
        <v>157</v>
      </c>
      <c r="N8" s="160" t="s">
        <v>158</v>
      </c>
      <c r="O8" s="161"/>
      <c r="P8" s="162" t="s">
        <v>152</v>
      </c>
      <c r="Q8" s="162" t="s">
        <v>156</v>
      </c>
      <c r="R8" s="163" t="s">
        <v>153</v>
      </c>
      <c r="S8" s="162" t="s">
        <v>157</v>
      </c>
      <c r="T8" s="164" t="s">
        <v>158</v>
      </c>
    </row>
    <row r="9" spans="1:20" ht="13.2" customHeight="1" x14ac:dyDescent="0.45">
      <c r="A9" s="25" t="s">
        <v>53</v>
      </c>
      <c r="B9" s="25">
        <v>6</v>
      </c>
      <c r="C9" s="25" t="s">
        <v>51</v>
      </c>
      <c r="D9" s="25">
        <v>2</v>
      </c>
      <c r="E9" s="25" t="s">
        <v>55</v>
      </c>
      <c r="F9" s="42" t="s">
        <v>52</v>
      </c>
      <c r="G9" s="22" t="s">
        <v>54</v>
      </c>
      <c r="H9" s="67">
        <f ca="1">N9</f>
        <v>60.631109597909905</v>
      </c>
      <c r="I9" s="20"/>
      <c r="J9" s="125" t="str">
        <f>A9</f>
        <v>03860C</v>
      </c>
      <c r="K9" s="125" t="s">
        <v>160</v>
      </c>
      <c r="L9" s="177" t="str">
        <f>G9</f>
        <v>Electrician</v>
      </c>
      <c r="M9" s="125" t="str">
        <f>F9</f>
        <v>01</v>
      </c>
      <c r="N9" s="130" cm="1">
        <f t="array" aca="1" ref="N9" ca="1">IF(K9="Y",VLOOKUP(J9,INDIRECT($K$2),5,0)*INDIRECT($J$3)+$K$4,VLOOKUP(J9,INDIRECT($K$2),5,0))</f>
        <v>60.631109597909905</v>
      </c>
      <c r="O9" s="135"/>
      <c r="P9" s="62" t="str">
        <f t="shared" ref="P9:S11" si="0">J9</f>
        <v>03860C</v>
      </c>
      <c r="Q9" s="62" t="str">
        <f t="shared" si="0"/>
        <v>Y</v>
      </c>
      <c r="R9" s="62" t="str">
        <f t="shared" si="0"/>
        <v>Electrician</v>
      </c>
      <c r="S9" s="47" t="str">
        <f t="shared" si="0"/>
        <v>01</v>
      </c>
      <c r="T9" s="48">
        <f ca="1">ROUND(N9,3)</f>
        <v>60.631</v>
      </c>
    </row>
    <row r="10" spans="1:20" ht="13.2" customHeight="1" x14ac:dyDescent="0.45">
      <c r="A10" s="25" t="s">
        <v>57</v>
      </c>
      <c r="B10" s="25">
        <v>8</v>
      </c>
      <c r="C10" s="25" t="s">
        <v>51</v>
      </c>
      <c r="D10" s="25">
        <v>2</v>
      </c>
      <c r="E10" s="25" t="s">
        <v>55</v>
      </c>
      <c r="F10" s="42" t="s">
        <v>56</v>
      </c>
      <c r="G10" s="22" t="s">
        <v>58</v>
      </c>
      <c r="H10" s="67">
        <f ca="1">N10</f>
        <v>64.310188065815737</v>
      </c>
      <c r="I10" s="20"/>
      <c r="J10" s="125" t="str">
        <f>A10</f>
        <v>04600C</v>
      </c>
      <c r="K10" s="125" t="s">
        <v>160</v>
      </c>
      <c r="L10" s="177" t="str">
        <f>G10</f>
        <v>Foreman, Electrician</v>
      </c>
      <c r="M10" s="125" t="str">
        <f>F10</f>
        <v>02</v>
      </c>
      <c r="N10" s="130" cm="1">
        <f t="array" aca="1" ref="N10" ca="1">IF(K10="Y",VLOOKUP(J10,INDIRECT($K$2),5,0)*INDIRECT($J$3)+$K$4,VLOOKUP(J10,INDIRECT($K$2),5,0))</f>
        <v>64.310188065815737</v>
      </c>
      <c r="O10" s="135"/>
      <c r="P10" s="62" t="str">
        <f t="shared" si="0"/>
        <v>04600C</v>
      </c>
      <c r="Q10" s="62" t="str">
        <f t="shared" si="0"/>
        <v>Y</v>
      </c>
      <c r="R10" s="62" t="str">
        <f t="shared" si="0"/>
        <v>Foreman, Electrician</v>
      </c>
      <c r="S10" s="47" t="str">
        <f t="shared" si="0"/>
        <v>02</v>
      </c>
      <c r="T10" s="48">
        <f t="shared" ref="T10:T11" ca="1" si="1">ROUND(N10,3)</f>
        <v>64.31</v>
      </c>
    </row>
    <row r="11" spans="1:20" ht="13.2" customHeight="1" x14ac:dyDescent="0.45">
      <c r="A11" s="25" t="s">
        <v>60</v>
      </c>
      <c r="B11" s="25">
        <v>8</v>
      </c>
      <c r="C11" s="25" t="s">
        <v>51</v>
      </c>
      <c r="D11" s="25">
        <v>2</v>
      </c>
      <c r="E11" s="25" t="s">
        <v>55</v>
      </c>
      <c r="F11" s="42" t="s">
        <v>59</v>
      </c>
      <c r="G11" s="22" t="s">
        <v>61</v>
      </c>
      <c r="H11" s="67">
        <f ca="1">N11</f>
        <v>66.149838962594828</v>
      </c>
      <c r="I11" s="20"/>
      <c r="J11" s="125" t="str">
        <f>A11</f>
        <v>04605C</v>
      </c>
      <c r="K11" s="125" t="s">
        <v>160</v>
      </c>
      <c r="L11" s="177" t="str">
        <f>G11</f>
        <v xml:space="preserve">Foreman, (Master) Electrician </v>
      </c>
      <c r="M11" s="125" t="str">
        <f>F11</f>
        <v>03</v>
      </c>
      <c r="N11" s="130" cm="1">
        <f t="array" aca="1" ref="N11" ca="1">IF(K11="Y",VLOOKUP(J11,INDIRECT($K$2),5,0)*INDIRECT($J$3)+$K$4,VLOOKUP(J11,INDIRECT($K$2),5,0))</f>
        <v>66.149838962594828</v>
      </c>
      <c r="O11" s="135"/>
      <c r="P11" s="62" t="str">
        <f t="shared" si="0"/>
        <v>04605C</v>
      </c>
      <c r="Q11" s="62" t="str">
        <f t="shared" si="0"/>
        <v>Y</v>
      </c>
      <c r="R11" s="62" t="str">
        <f t="shared" si="0"/>
        <v xml:space="preserve">Foreman, (Master) Electrician </v>
      </c>
      <c r="S11" s="47" t="str">
        <f t="shared" si="0"/>
        <v>03</v>
      </c>
      <c r="T11" s="48">
        <f t="shared" ca="1" si="1"/>
        <v>66.150000000000006</v>
      </c>
    </row>
    <row r="12" spans="1:20" ht="13.2" customHeight="1" x14ac:dyDescent="0.45">
      <c r="A12" s="25" t="s">
        <v>63</v>
      </c>
      <c r="B12" s="25">
        <v>10</v>
      </c>
      <c r="C12" s="25" t="s">
        <v>51</v>
      </c>
      <c r="D12" s="25">
        <v>2</v>
      </c>
      <c r="E12" s="25" t="s">
        <v>55</v>
      </c>
      <c r="F12" s="42" t="s">
        <v>62</v>
      </c>
      <c r="G12" s="22" t="s">
        <v>64</v>
      </c>
      <c r="H12" s="67">
        <f ca="1">N12</f>
        <v>67.989489859373975</v>
      </c>
      <c r="I12" s="20"/>
      <c r="J12" s="125" t="str">
        <f>A12</f>
        <v>05140C</v>
      </c>
      <c r="K12" s="125" t="s">
        <v>160</v>
      </c>
      <c r="L12" s="156" t="str">
        <f>G12</f>
        <v>*General Foreman, Electrician</v>
      </c>
      <c r="M12" s="155" t="str">
        <f>F12</f>
        <v>CSU N42</v>
      </c>
      <c r="N12" s="167" cm="1">
        <f t="array" aca="1" ref="N12" ca="1">IF(K12="Y",VLOOKUP(J12,INDIRECT($K$2),5,0)*INDIRECT($J$3),VLOOKUP(J12,INDIRECT($K$2),5,0))</f>
        <v>67.989489859373975</v>
      </c>
      <c r="O12" s="171"/>
      <c r="T12" s="48"/>
    </row>
    <row r="13" spans="1:20" ht="13.2" customHeight="1" x14ac:dyDescent="0.45">
      <c r="A13" s="25" t="s">
        <v>99</v>
      </c>
      <c r="B13" s="25">
        <v>10</v>
      </c>
      <c r="C13" s="25" t="s">
        <v>51</v>
      </c>
      <c r="D13" s="25">
        <v>2</v>
      </c>
      <c r="E13" s="25" t="s">
        <v>55</v>
      </c>
      <c r="F13" s="42" t="s">
        <v>62</v>
      </c>
      <c r="G13" s="22" t="s">
        <v>100</v>
      </c>
      <c r="H13" s="67">
        <f ca="1">N13</f>
        <v>67.989489859373975</v>
      </c>
      <c r="I13" s="20"/>
      <c r="J13" s="121" t="s">
        <v>99</v>
      </c>
      <c r="K13" s="121" t="s">
        <v>160</v>
      </c>
      <c r="L13" s="156" t="str">
        <f>G13</f>
        <v>*Supervisor Water Plant Electrical and Control Systems</v>
      </c>
      <c r="M13" s="155" t="str">
        <f>F13</f>
        <v>CSU N42</v>
      </c>
      <c r="N13" s="167" cm="1">
        <f t="array" aca="1" ref="N13" ca="1">IF(K13="Y",VLOOKUP(J13,INDIRECT($K$2),5,0)*INDIRECT($J$3),VLOOKUP(J13,INDIRECT($K$2),5,0))</f>
        <v>67.989489859373975</v>
      </c>
      <c r="O13" s="171"/>
      <c r="T13" s="48"/>
    </row>
    <row r="14" spans="1:20" ht="13.2" customHeight="1" x14ac:dyDescent="0.45">
      <c r="A14" s="25"/>
      <c r="B14" s="25"/>
      <c r="C14" s="25"/>
      <c r="D14" s="25"/>
      <c r="F14" s="25"/>
      <c r="G14" s="22"/>
      <c r="I14" s="20"/>
      <c r="J14" s="125"/>
      <c r="K14" s="125"/>
      <c r="L14" s="157" t="s">
        <v>232</v>
      </c>
      <c r="M14" s="166"/>
      <c r="N14" s="167"/>
      <c r="O14" s="166"/>
    </row>
    <row r="15" spans="1:20" ht="13.2" customHeight="1" x14ac:dyDescent="0.45">
      <c r="A15" s="18"/>
      <c r="B15" s="18"/>
      <c r="C15" s="18"/>
      <c r="D15" s="18"/>
      <c r="E15" s="32"/>
      <c r="F15" s="22" t="s">
        <v>101</v>
      </c>
      <c r="H15" s="18"/>
      <c r="I15" s="20"/>
      <c r="J15" s="125"/>
      <c r="K15" s="125"/>
      <c r="L15" s="125"/>
      <c r="M15" s="125"/>
    </row>
    <row r="16" spans="1:20" ht="13.2" customHeight="1" x14ac:dyDescent="0.45">
      <c r="A16" s="1" t="s">
        <v>66</v>
      </c>
      <c r="E16" s="2"/>
      <c r="H16" s="2"/>
      <c r="I16" s="3"/>
      <c r="J16" s="129"/>
      <c r="K16" s="129"/>
      <c r="L16" s="129"/>
      <c r="M16" s="129"/>
      <c r="N16" s="130"/>
    </row>
    <row r="17" spans="1:20" ht="13.2" customHeight="1" x14ac:dyDescent="0.45">
      <c r="A17" s="8" t="s">
        <v>67</v>
      </c>
      <c r="H17" s="6"/>
      <c r="I17" s="3"/>
      <c r="J17" s="129"/>
      <c r="K17" s="129"/>
      <c r="L17" s="129"/>
      <c r="M17" s="129"/>
      <c r="N17" s="130"/>
    </row>
    <row r="18" spans="1:20" ht="13.2" customHeight="1" x14ac:dyDescent="0.45">
      <c r="A18" s="144">
        <f ca="1">N18</f>
        <v>0.34869448537453263</v>
      </c>
      <c r="B18" s="5" t="s">
        <v>68</v>
      </c>
      <c r="I18" s="12"/>
      <c r="J18" s="129" t="s">
        <v>69</v>
      </c>
      <c r="K18" s="129" t="s">
        <v>160</v>
      </c>
      <c r="L18" s="124" t="s">
        <v>102</v>
      </c>
      <c r="M18" s="130"/>
      <c r="N18" s="130" cm="1">
        <f t="array" aca="1" ref="N18" ca="1">IF(K18="Y",VLOOKUP(J18,INDIRECT($K$2),5,0)*INDIRECT($J$3),VLOOKUP(J18,INDIRECT($K$2),5,0))</f>
        <v>0.34869448537453263</v>
      </c>
      <c r="P18" s="62" t="str">
        <f t="shared" ref="P18:R21" si="2">J18</f>
        <v>LNG10</v>
      </c>
      <c r="Q18" s="62" t="str">
        <f t="shared" si="2"/>
        <v>Y</v>
      </c>
      <c r="R18" s="62" t="str">
        <f t="shared" si="2"/>
        <v>Longevity - 10 years</v>
      </c>
      <c r="T18" s="48">
        <f t="shared" ref="T18:T21" ca="1" si="3">ROUND(N18,3)</f>
        <v>0.34899999999999998</v>
      </c>
    </row>
    <row r="19" spans="1:20" ht="13.2" customHeight="1" x14ac:dyDescent="0.45">
      <c r="A19" s="144">
        <f ca="1">N19</f>
        <v>0.48178398360908709</v>
      </c>
      <c r="B19" s="5" t="s">
        <v>70</v>
      </c>
      <c r="I19" s="12"/>
      <c r="J19" s="129" t="s">
        <v>71</v>
      </c>
      <c r="K19" s="129" t="s">
        <v>160</v>
      </c>
      <c r="L19" s="124" t="s">
        <v>103</v>
      </c>
      <c r="M19" s="130"/>
      <c r="N19" s="130" cm="1">
        <f t="array" aca="1" ref="N19" ca="1">IF(K19="Y",VLOOKUP(J19,INDIRECT($K$2),5,0)*INDIRECT($J$3),VLOOKUP(J19,INDIRECT($K$2),5,0))</f>
        <v>0.48178398360908709</v>
      </c>
      <c r="P19" s="62" t="str">
        <f t="shared" si="2"/>
        <v>LNG15</v>
      </c>
      <c r="Q19" s="62" t="str">
        <f t="shared" si="2"/>
        <v>Y</v>
      </c>
      <c r="R19" s="62" t="str">
        <f t="shared" si="2"/>
        <v>Longevity - 15 years</v>
      </c>
      <c r="T19" s="48">
        <f t="shared" ca="1" si="3"/>
        <v>0.48199999999999998</v>
      </c>
    </row>
    <row r="20" spans="1:20" ht="13.2" customHeight="1" x14ac:dyDescent="0.45">
      <c r="A20" s="144">
        <f ca="1">N20</f>
        <v>0.76792640481337904</v>
      </c>
      <c r="B20" s="5" t="s">
        <v>72</v>
      </c>
      <c r="I20" s="12"/>
      <c r="J20" s="129" t="s">
        <v>73</v>
      </c>
      <c r="K20" s="129" t="s">
        <v>160</v>
      </c>
      <c r="L20" s="124" t="s">
        <v>104</v>
      </c>
      <c r="M20" s="130"/>
      <c r="N20" s="130" cm="1">
        <f t="array" aca="1" ref="N20" ca="1">IF(K20="Y",VLOOKUP(J20,INDIRECT($K$2),5,0)*INDIRECT($J$3),VLOOKUP(J20,INDIRECT($K$2),5,0))</f>
        <v>0.76792640481337904</v>
      </c>
      <c r="P20" s="62" t="str">
        <f t="shared" si="2"/>
        <v>LNG20</v>
      </c>
      <c r="Q20" s="62" t="str">
        <f t="shared" si="2"/>
        <v>Y</v>
      </c>
      <c r="R20" s="62" t="str">
        <f t="shared" si="2"/>
        <v>Longevity - 20 years</v>
      </c>
      <c r="T20" s="48">
        <f t="shared" ca="1" si="3"/>
        <v>0.76800000000000002</v>
      </c>
    </row>
    <row r="21" spans="1:20" ht="13.2" customHeight="1" x14ac:dyDescent="0.45">
      <c r="A21" s="144">
        <f ca="1">N21</f>
        <v>1.1512241597288959</v>
      </c>
      <c r="B21" s="5" t="s">
        <v>74</v>
      </c>
      <c r="I21" s="12"/>
      <c r="J21" s="129" t="s">
        <v>75</v>
      </c>
      <c r="K21" s="129" t="s">
        <v>160</v>
      </c>
      <c r="L21" s="124" t="s">
        <v>105</v>
      </c>
      <c r="M21" s="130"/>
      <c r="N21" s="130" cm="1">
        <f t="array" aca="1" ref="N21" ca="1">IF(K21="Y",VLOOKUP(J21,INDIRECT($K$2),5,0)*INDIRECT($J$3),VLOOKUP(J21,INDIRECT($K$2),5,0))</f>
        <v>1.1512241597288959</v>
      </c>
      <c r="P21" s="62" t="str">
        <f t="shared" si="2"/>
        <v>LNG25</v>
      </c>
      <c r="Q21" s="62" t="str">
        <f t="shared" si="2"/>
        <v>Y</v>
      </c>
      <c r="R21" s="62" t="str">
        <f t="shared" si="2"/>
        <v>Longevity - 25 years</v>
      </c>
      <c r="T21" s="48">
        <f t="shared" ca="1" si="3"/>
        <v>1.151</v>
      </c>
    </row>
    <row r="22" spans="1:20" ht="13.2" customHeight="1" x14ac:dyDescent="0.45"/>
    <row r="23" spans="1:20" ht="13.2" customHeight="1" x14ac:dyDescent="0.45">
      <c r="A23" s="1" t="s">
        <v>76</v>
      </c>
    </row>
    <row r="24" spans="1:20" ht="13.2" customHeight="1" x14ac:dyDescent="0.45">
      <c r="A24" s="46" t="str">
        <f ca="1">"Provided that a night shift differential of "&amp;TEXT(N24,"$#.000")&amp;" per hour for each hour, or fraction thereof, they"</f>
        <v>Provided that a night shift differential of $2.826 per hour for each hour, or fraction thereof, they</v>
      </c>
      <c r="H24" s="19"/>
      <c r="J24" s="121" t="s">
        <v>79</v>
      </c>
      <c r="K24" s="129" t="s">
        <v>160</v>
      </c>
      <c r="L24" s="124" t="s">
        <v>106</v>
      </c>
      <c r="M24" s="129"/>
      <c r="N24" s="130" cm="1">
        <f t="array" aca="1" ref="N24" ca="1">IF(K24="Y",VLOOKUP(J24,INDIRECT($K$2),5,0)*INDIRECT($J$3),VLOOKUP(J24,INDIRECT($K$2),5,0))</f>
        <v>2.8257038248967858</v>
      </c>
      <c r="P24" s="62" t="str">
        <f t="shared" ref="P24:R25" si="4">J24</f>
        <v>CELEVE</v>
      </c>
      <c r="Q24" s="62" t="str">
        <f t="shared" si="4"/>
        <v>Y</v>
      </c>
      <c r="R24" s="62" t="str">
        <f t="shared" si="4"/>
        <v>TL-Evening Shift Premium-CEL</v>
      </c>
      <c r="T24" s="48">
        <f t="shared" ref="T24:T25" ca="1" si="5">ROUND(N24,3)</f>
        <v>2.8260000000000001</v>
      </c>
    </row>
    <row r="25" spans="1:20" ht="13.2" customHeight="1" x14ac:dyDescent="0.45">
      <c r="A25" s="46" t="s">
        <v>80</v>
      </c>
      <c r="J25" s="121" t="s">
        <v>81</v>
      </c>
      <c r="K25" s="129" t="s">
        <v>160</v>
      </c>
      <c r="L25" s="124" t="s">
        <v>107</v>
      </c>
      <c r="M25" s="129"/>
      <c r="N25" s="130" cm="1">
        <f t="array" aca="1" ref="N25" ca="1">IF(K25="Y",VLOOKUP(J25,INDIRECT($K$2),5,0)*INDIRECT($J$3),VLOOKUP(J25,INDIRECT($K$2),5,0))</f>
        <v>2.8257038248967858</v>
      </c>
      <c r="P25" s="62" t="str">
        <f t="shared" si="4"/>
        <v>CELSGT</v>
      </c>
      <c r="Q25" s="62" t="str">
        <f t="shared" si="4"/>
        <v>Y</v>
      </c>
      <c r="R25" s="62" t="str">
        <f t="shared" si="4"/>
        <v>TL-Signal Truck Premium-CEL</v>
      </c>
      <c r="T25" s="48">
        <f t="shared" ca="1" si="5"/>
        <v>2.8260000000000001</v>
      </c>
    </row>
    <row r="26" spans="1:20" ht="13.2" customHeight="1" x14ac:dyDescent="0.45">
      <c r="A26" s="46" t="s">
        <v>82</v>
      </c>
    </row>
    <row r="27" spans="1:20" ht="13.2" customHeight="1" x14ac:dyDescent="0.45">
      <c r="A27" s="46"/>
    </row>
    <row r="28" spans="1:20" ht="13.2" customHeight="1" x14ac:dyDescent="0.45">
      <c r="A28" s="46" t="str">
        <f ca="1">"Provided that a weekend shift differential of "&amp;TEXT(N28,"$#.000")&amp;" per hour shall be paid to employees who work"</f>
        <v>Provided that a weekend shift differential of $1.916 per hour shall be paid to employees who work</v>
      </c>
      <c r="H28" s="19"/>
      <c r="J28" s="121" t="s">
        <v>85</v>
      </c>
      <c r="K28" s="129" t="s">
        <v>160</v>
      </c>
      <c r="L28" s="124" t="s">
        <v>108</v>
      </c>
      <c r="M28" s="129"/>
      <c r="N28" s="130" cm="1">
        <f t="array" aca="1" ref="N28" ca="1">IF(K28="Y",VLOOKUP(J28,INDIRECT($K$2),5,0)*INDIRECT($J$3),VLOOKUP(J28,INDIRECT($K$2),5,0))</f>
        <v>1.9159815788179055</v>
      </c>
      <c r="P28" s="62" t="str">
        <f>J28</f>
        <v>CELWKE</v>
      </c>
      <c r="Q28" s="62" t="str">
        <f>K28</f>
        <v>Y</v>
      </c>
      <c r="R28" s="62" t="str">
        <f>L28</f>
        <v>TL-Wkend Shift dif CEL</v>
      </c>
      <c r="T28" s="48">
        <f t="shared" ref="T28" ca="1" si="6">ROUND(N28,3)</f>
        <v>1.9159999999999999</v>
      </c>
    </row>
    <row r="29" spans="1:20" ht="13.2" customHeight="1" x14ac:dyDescent="0.45">
      <c r="A29" s="46" t="s">
        <v>86</v>
      </c>
    </row>
    <row r="30" spans="1:20" ht="13.2" customHeight="1" x14ac:dyDescent="0.45">
      <c r="G30" s="19"/>
    </row>
    <row r="31" spans="1:20" ht="13.2" customHeight="1" x14ac:dyDescent="0.45">
      <c r="A31" s="68" t="str">
        <f ca="1">"Provided that a premium of "&amp;TEXT(N31,"$#.000")&amp;" per hour shall be paid to employees for hours worked while performing welding work."</f>
        <v>Provided that a premium of $2.164 per hour shall be paid to employees for hours worked while performing welding work.</v>
      </c>
      <c r="B31" s="3"/>
      <c r="J31" s="129" t="s">
        <v>136</v>
      </c>
      <c r="K31" s="129" t="s">
        <v>160</v>
      </c>
      <c r="L31" s="124" t="s">
        <v>137</v>
      </c>
      <c r="M31" s="129"/>
      <c r="N31" s="130" cm="1">
        <f t="array" aca="1" ref="N31" ca="1">IF(K31="Y",VLOOKUP(J31,INDIRECT($K$2),5,0)*INDIRECT($J$3),VLOOKUP(J31,INDIRECT($K$2),5,0))</f>
        <v>2.16387756</v>
      </c>
      <c r="P31" s="62" t="str">
        <f>J31</f>
        <v>CELWLD</v>
      </c>
      <c r="Q31" s="62" t="str">
        <f>K31</f>
        <v>Y</v>
      </c>
      <c r="R31" s="62" t="str">
        <f>L31</f>
        <v>Welding premium - add to COMET</v>
      </c>
      <c r="T31" s="48">
        <f t="shared" ref="T31" ca="1" si="7">ROUND(N31,3)</f>
        <v>2.1640000000000001</v>
      </c>
    </row>
    <row r="32" spans="1:20" ht="13.2" customHeight="1" x14ac:dyDescent="0.45">
      <c r="A32" s="68"/>
      <c r="B32" s="3"/>
      <c r="J32" s="129"/>
      <c r="K32" s="129"/>
      <c r="L32" s="129"/>
      <c r="M32" s="129"/>
      <c r="N32" s="130"/>
    </row>
    <row r="33" spans="1:20" s="12" customFormat="1" x14ac:dyDescent="0.45">
      <c r="A33" s="12" t="s">
        <v>109</v>
      </c>
      <c r="J33" s="129"/>
      <c r="K33" s="129"/>
      <c r="L33" s="124"/>
      <c r="M33" s="129"/>
      <c r="N33" s="145"/>
      <c r="O33" s="133"/>
      <c r="P33" s="62"/>
      <c r="Q33" s="62"/>
      <c r="R33" s="62"/>
      <c r="S33" s="47"/>
      <c r="T33" s="146"/>
    </row>
    <row r="34" spans="1:20" s="12" customFormat="1" x14ac:dyDescent="0.45">
      <c r="A34" s="68" t="s">
        <v>111</v>
      </c>
      <c r="J34" s="129"/>
      <c r="K34" s="129"/>
      <c r="L34" s="124"/>
      <c r="M34" s="129"/>
      <c r="N34" s="145"/>
      <c r="O34" s="133"/>
      <c r="P34" s="62"/>
      <c r="Q34" s="62"/>
      <c r="R34" s="62"/>
      <c r="S34" s="47"/>
      <c r="T34" s="146"/>
    </row>
    <row r="35" spans="1:20" s="3" customFormat="1" x14ac:dyDescent="0.45">
      <c r="A35" s="68" t="s">
        <v>113</v>
      </c>
      <c r="J35" s="129"/>
      <c r="K35" s="129"/>
      <c r="L35" s="149"/>
      <c r="M35" s="129"/>
      <c r="N35" s="131"/>
      <c r="O35" s="134"/>
      <c r="P35" s="53"/>
      <c r="Q35" s="53"/>
      <c r="R35" s="53"/>
      <c r="S35" s="49"/>
      <c r="T35" s="49"/>
    </row>
    <row r="36" spans="1:20" s="3" customFormat="1" x14ac:dyDescent="0.45">
      <c r="A36" s="68" t="s">
        <v>114</v>
      </c>
      <c r="J36" s="129"/>
      <c r="K36" s="129"/>
      <c r="L36" s="129"/>
      <c r="M36" s="129"/>
      <c r="N36" s="131"/>
      <c r="O36" s="134"/>
      <c r="P36" s="53"/>
      <c r="Q36" s="53"/>
      <c r="R36" s="53"/>
      <c r="S36" s="49"/>
      <c r="T36" s="49"/>
    </row>
    <row r="37" spans="1:20" s="3" customFormat="1" x14ac:dyDescent="0.45">
      <c r="A37" s="68" t="s">
        <v>115</v>
      </c>
      <c r="J37" s="134"/>
      <c r="K37" s="134"/>
      <c r="L37" s="129"/>
      <c r="M37" s="134"/>
      <c r="N37" s="131"/>
      <c r="O37" s="134"/>
      <c r="P37" s="53"/>
      <c r="Q37" s="53"/>
      <c r="R37" s="53"/>
      <c r="S37" s="49"/>
      <c r="T37" s="49"/>
    </row>
    <row r="38" spans="1:20" s="3" customFormat="1" x14ac:dyDescent="0.45">
      <c r="J38" s="129"/>
      <c r="K38" s="129"/>
      <c r="L38" s="134"/>
      <c r="M38" s="129"/>
      <c r="N38" s="131"/>
      <c r="O38" s="134"/>
      <c r="P38" s="53"/>
      <c r="Q38" s="53"/>
      <c r="R38" s="53"/>
      <c r="S38" s="49"/>
      <c r="T38" s="49"/>
    </row>
    <row r="39" spans="1:20" s="3" customFormat="1" x14ac:dyDescent="0.45">
      <c r="J39" s="129"/>
      <c r="K39" s="129"/>
      <c r="L39" s="129"/>
      <c r="M39" s="129"/>
      <c r="N39" s="131"/>
      <c r="O39" s="134"/>
      <c r="P39" s="53"/>
      <c r="Q39" s="53"/>
      <c r="R39" s="53"/>
      <c r="S39" s="49"/>
      <c r="T39" s="49"/>
    </row>
    <row r="40" spans="1:20" s="3" customFormat="1" x14ac:dyDescent="0.45">
      <c r="J40" s="129"/>
      <c r="K40" s="129"/>
      <c r="L40" s="129"/>
      <c r="M40" s="129"/>
      <c r="N40" s="131"/>
      <c r="O40" s="134"/>
      <c r="P40" s="53"/>
      <c r="Q40" s="53"/>
      <c r="R40" s="53"/>
      <c r="S40" s="49"/>
      <c r="T40" s="49"/>
    </row>
    <row r="41" spans="1:20" s="3" customFormat="1" x14ac:dyDescent="0.45">
      <c r="A41" s="3" t="s">
        <v>234</v>
      </c>
      <c r="H41" s="3" t="s">
        <v>162</v>
      </c>
      <c r="J41" s="129"/>
      <c r="K41" s="129"/>
      <c r="L41" s="129"/>
      <c r="M41" s="129"/>
      <c r="N41" s="131"/>
      <c r="O41" s="134"/>
      <c r="P41" s="53"/>
      <c r="Q41" s="53"/>
      <c r="R41" s="53"/>
      <c r="S41" s="49"/>
      <c r="T41" s="49"/>
    </row>
    <row r="42" spans="1:20" s="3" customFormat="1" x14ac:dyDescent="0.45">
      <c r="J42" s="129"/>
      <c r="K42" s="129"/>
      <c r="L42" s="129"/>
      <c r="M42" s="129"/>
      <c r="N42" s="131"/>
      <c r="O42" s="134"/>
      <c r="P42" s="53"/>
      <c r="Q42" s="53"/>
      <c r="R42" s="53"/>
      <c r="S42" s="49"/>
      <c r="T42" s="49"/>
    </row>
    <row r="43" spans="1:20" s="3" customFormat="1" x14ac:dyDescent="0.45">
      <c r="J43" s="129"/>
      <c r="K43" s="129"/>
      <c r="L43" s="129"/>
      <c r="M43" s="129"/>
      <c r="N43" s="131"/>
      <c r="O43" s="134"/>
      <c r="P43" s="53"/>
      <c r="Q43" s="53"/>
      <c r="R43" s="53"/>
      <c r="S43" s="49"/>
      <c r="T43" s="49"/>
    </row>
    <row r="44" spans="1:20" s="3" customFormat="1" x14ac:dyDescent="0.45">
      <c r="J44" s="129"/>
      <c r="K44" s="129"/>
      <c r="L44" s="129"/>
      <c r="M44" s="129"/>
      <c r="N44" s="131"/>
      <c r="O44" s="134"/>
      <c r="P44" s="53"/>
      <c r="Q44" s="53"/>
      <c r="R44" s="53"/>
      <c r="S44" s="49"/>
      <c r="T44" s="49"/>
    </row>
    <row r="45" spans="1:20" s="3" customFormat="1" x14ac:dyDescent="0.45">
      <c r="J45" s="129"/>
      <c r="K45" s="129"/>
      <c r="L45" s="129"/>
      <c r="M45" s="129"/>
      <c r="N45" s="131"/>
      <c r="O45" s="134"/>
      <c r="P45" s="53"/>
      <c r="Q45" s="53"/>
      <c r="R45" s="53"/>
      <c r="S45" s="49"/>
      <c r="T45" s="49"/>
    </row>
    <row r="46" spans="1:20" s="3" customFormat="1" x14ac:dyDescent="0.45">
      <c r="A46" s="15"/>
      <c r="B46" s="15"/>
      <c r="C46" s="29"/>
      <c r="D46" s="14"/>
      <c r="E46" s="14"/>
      <c r="F46" s="15"/>
      <c r="G46" s="14"/>
      <c r="H46" s="14"/>
      <c r="I46" s="14"/>
      <c r="J46" s="132"/>
      <c r="K46" s="132"/>
      <c r="L46" s="132"/>
      <c r="M46" s="132"/>
      <c r="N46" s="131"/>
      <c r="O46" s="134"/>
      <c r="P46" s="53"/>
      <c r="Q46" s="53"/>
      <c r="R46" s="53"/>
      <c r="S46" s="49"/>
      <c r="T46" s="49"/>
    </row>
    <row r="47" spans="1:20" s="3" customFormat="1" x14ac:dyDescent="0.45">
      <c r="A47" s="14"/>
      <c r="B47" s="14"/>
      <c r="C47" s="14"/>
      <c r="D47" s="14"/>
      <c r="E47" s="14"/>
      <c r="F47" s="14"/>
      <c r="G47" s="14"/>
      <c r="H47" s="14"/>
      <c r="I47" s="14"/>
      <c r="J47" s="132"/>
      <c r="K47" s="132"/>
      <c r="L47" s="132"/>
      <c r="M47" s="132"/>
      <c r="N47" s="131"/>
      <c r="O47" s="134"/>
      <c r="P47" s="53"/>
      <c r="Q47" s="53"/>
      <c r="R47" s="53"/>
      <c r="S47" s="49"/>
      <c r="T47" s="49"/>
    </row>
    <row r="48" spans="1:20" s="17" customFormat="1" x14ac:dyDescent="0.45">
      <c r="A48" s="14"/>
      <c r="B48" s="14"/>
      <c r="C48" s="14"/>
      <c r="D48" s="14"/>
      <c r="E48" s="14"/>
      <c r="F48" s="14"/>
      <c r="G48" s="14"/>
      <c r="H48" s="14"/>
      <c r="I48" s="14"/>
      <c r="J48" s="132"/>
      <c r="K48" s="132"/>
      <c r="L48" s="132"/>
      <c r="M48" s="132"/>
      <c r="N48" s="131"/>
      <c r="O48" s="129"/>
      <c r="P48" s="49"/>
      <c r="Q48" s="49"/>
      <c r="R48" s="49"/>
      <c r="S48" s="49"/>
      <c r="T48" s="49"/>
    </row>
    <row r="49" spans="3:20" s="3" customFormat="1" x14ac:dyDescent="0.45">
      <c r="C49" s="17"/>
      <c r="D49" s="17"/>
      <c r="E49" s="17"/>
      <c r="H49" s="17"/>
      <c r="J49" s="129"/>
      <c r="K49" s="129"/>
      <c r="L49" s="129"/>
      <c r="M49" s="129"/>
      <c r="N49" s="131"/>
      <c r="O49" s="134"/>
      <c r="P49" s="53"/>
      <c r="Q49" s="53"/>
      <c r="R49" s="53"/>
      <c r="S49" s="49"/>
      <c r="T49" s="49"/>
    </row>
    <row r="50" spans="3:20" s="3" customFormat="1" x14ac:dyDescent="0.45">
      <c r="J50" s="129"/>
      <c r="K50" s="129"/>
      <c r="L50" s="129"/>
      <c r="M50" s="129"/>
      <c r="N50" s="131"/>
      <c r="O50" s="134"/>
      <c r="P50" s="53"/>
      <c r="Q50" s="53"/>
      <c r="R50" s="53"/>
      <c r="S50" s="49"/>
      <c r="T50" s="49"/>
    </row>
    <row r="51" spans="3:20" s="3" customFormat="1" x14ac:dyDescent="0.45">
      <c r="J51" s="129"/>
      <c r="K51" s="129"/>
      <c r="L51" s="129"/>
      <c r="M51" s="129"/>
      <c r="N51" s="131"/>
      <c r="O51" s="134"/>
      <c r="P51" s="53"/>
      <c r="Q51" s="53"/>
      <c r="R51" s="53"/>
      <c r="S51" s="49"/>
      <c r="T51" s="49"/>
    </row>
  </sheetData>
  <sheetProtection sheet="1" objects="1" scenarios="1"/>
  <mergeCells count="4">
    <mergeCell ref="L1:O1"/>
    <mergeCell ref="L3:O3"/>
    <mergeCell ref="L4:O4"/>
    <mergeCell ref="L5:O5"/>
  </mergeCells>
  <pageMargins left="0" right="0" top="1" bottom="0.5" header="0.5" footer="0.5"/>
  <pageSetup scale="94" fitToHeight="2" orientation="landscape" horizont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6812-F971-47B3-BB70-E53702DF91CB}">
  <dimension ref="A1:B12"/>
  <sheetViews>
    <sheetView workbookViewId="0">
      <selection activeCell="B1" sqref="B1:B12"/>
    </sheetView>
  </sheetViews>
  <sheetFormatPr defaultColWidth="9.1171875" defaultRowHeight="12.7" x14ac:dyDescent="0.4"/>
  <cols>
    <col min="1" max="16384" width="9.1171875" style="79"/>
  </cols>
  <sheetData>
    <row r="1" spans="1:2" x14ac:dyDescent="0.4">
      <c r="A1" s="79">
        <v>1</v>
      </c>
      <c r="B1" s="79" t="s">
        <v>198</v>
      </c>
    </row>
    <row r="2" spans="1:2" x14ac:dyDescent="0.4">
      <c r="A2" s="79">
        <f>A1+1</f>
        <v>2</v>
      </c>
      <c r="B2" s="79" t="s">
        <v>199</v>
      </c>
    </row>
    <row r="3" spans="1:2" x14ac:dyDescent="0.4">
      <c r="A3" s="79">
        <f t="shared" ref="A3:A12" si="0">A2+1</f>
        <v>3</v>
      </c>
      <c r="B3" s="79" t="s">
        <v>200</v>
      </c>
    </row>
    <row r="4" spans="1:2" x14ac:dyDescent="0.4">
      <c r="A4" s="79">
        <f t="shared" si="0"/>
        <v>4</v>
      </c>
      <c r="B4" s="79" t="s">
        <v>201</v>
      </c>
    </row>
    <row r="5" spans="1:2" x14ac:dyDescent="0.4">
      <c r="A5" s="79">
        <f t="shared" si="0"/>
        <v>5</v>
      </c>
      <c r="B5" s="79" t="s">
        <v>202</v>
      </c>
    </row>
    <row r="6" spans="1:2" x14ac:dyDescent="0.4">
      <c r="A6" s="79">
        <f t="shared" si="0"/>
        <v>6</v>
      </c>
      <c r="B6" s="79" t="s">
        <v>203</v>
      </c>
    </row>
    <row r="7" spans="1:2" x14ac:dyDescent="0.4">
      <c r="A7" s="79">
        <f t="shared" si="0"/>
        <v>7</v>
      </c>
      <c r="B7" s="79" t="s">
        <v>204</v>
      </c>
    </row>
    <row r="8" spans="1:2" x14ac:dyDescent="0.4">
      <c r="A8" s="79">
        <f t="shared" si="0"/>
        <v>8</v>
      </c>
      <c r="B8" s="79" t="s">
        <v>205</v>
      </c>
    </row>
    <row r="9" spans="1:2" x14ac:dyDescent="0.4">
      <c r="A9" s="79">
        <f t="shared" si="0"/>
        <v>9</v>
      </c>
      <c r="B9" s="79" t="s">
        <v>206</v>
      </c>
    </row>
    <row r="10" spans="1:2" x14ac:dyDescent="0.4">
      <c r="A10" s="79">
        <f t="shared" si="0"/>
        <v>10</v>
      </c>
      <c r="B10" s="79" t="s">
        <v>207</v>
      </c>
    </row>
    <row r="11" spans="1:2" x14ac:dyDescent="0.4">
      <c r="A11" s="79">
        <f t="shared" si="0"/>
        <v>11</v>
      </c>
      <c r="B11" s="79" t="s">
        <v>208</v>
      </c>
    </row>
    <row r="12" spans="1:2" x14ac:dyDescent="0.4">
      <c r="A12" s="79">
        <f t="shared" si="0"/>
        <v>12</v>
      </c>
      <c r="B12" s="79" t="s">
        <v>209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9"/>
  <sheetViews>
    <sheetView showGridLines="0" topLeftCell="D1" workbookViewId="0">
      <selection activeCell="P9" sqref="P9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3.41015625" style="21" customWidth="1"/>
    <col min="4" max="5" width="8.29296875" style="21" customWidth="1"/>
    <col min="6" max="6" width="36.29296875" style="21" customWidth="1"/>
    <col min="7" max="7" width="7.29296875" style="25" customWidth="1"/>
    <col min="8" max="8" width="3.41015625" style="25" customWidth="1"/>
    <col min="9" max="9" width="2.87890625" style="25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7.1171875" style="47" bestFit="1" customWidth="1"/>
    <col min="15" max="15" width="8.41015625" style="48" bestFit="1" customWidth="1"/>
    <col min="16" max="16384" width="11.41015625" style="21"/>
  </cols>
  <sheetData>
    <row r="1" spans="2:16" ht="13.2" customHeight="1" x14ac:dyDescent="0.45">
      <c r="B1" s="19" t="s">
        <v>41</v>
      </c>
      <c r="C1" s="18"/>
      <c r="D1" s="18"/>
      <c r="E1" s="18"/>
      <c r="F1" s="19"/>
      <c r="G1" s="18"/>
      <c r="H1" s="18"/>
      <c r="I1" s="18"/>
      <c r="J1" s="20"/>
      <c r="K1" s="20"/>
      <c r="L1" s="20"/>
      <c r="M1" s="20"/>
      <c r="N1" s="50"/>
      <c r="O1" s="57"/>
    </row>
    <row r="2" spans="2:16" ht="13.2" customHeight="1" x14ac:dyDescent="0.45">
      <c r="B2" s="19"/>
      <c r="C2" s="18"/>
      <c r="D2" s="18"/>
      <c r="E2" s="18"/>
      <c r="F2" s="19"/>
      <c r="G2" s="18"/>
      <c r="H2" s="18"/>
      <c r="I2" s="18"/>
      <c r="J2" s="20"/>
      <c r="K2" s="20"/>
      <c r="L2" s="20"/>
      <c r="M2" s="20"/>
      <c r="N2" s="50"/>
      <c r="O2" s="57"/>
    </row>
    <row r="3" spans="2:16" ht="13.2" customHeight="1" x14ac:dyDescent="0.45">
      <c r="B3" s="22"/>
      <c r="C3" s="18"/>
      <c r="D3" s="18"/>
      <c r="E3" s="18"/>
      <c r="F3" s="19"/>
      <c r="G3" s="18"/>
      <c r="H3" s="18"/>
      <c r="I3" s="18"/>
      <c r="J3" s="18" t="s">
        <v>42</v>
      </c>
      <c r="K3" s="20"/>
      <c r="L3" s="20"/>
      <c r="M3" s="20"/>
      <c r="N3" s="50"/>
      <c r="O3" s="57"/>
    </row>
    <row r="4" spans="2:16" ht="13.2" customHeight="1" x14ac:dyDescent="0.45">
      <c r="B4" s="18" t="s">
        <v>43</v>
      </c>
      <c r="C4" s="18" t="s">
        <v>44</v>
      </c>
      <c r="D4" s="18"/>
      <c r="E4" s="18" t="s">
        <v>45</v>
      </c>
      <c r="F4" s="19" t="s">
        <v>46</v>
      </c>
      <c r="G4" s="23" t="s">
        <v>47</v>
      </c>
      <c r="H4" s="18" t="s">
        <v>48</v>
      </c>
      <c r="I4" s="18" t="s">
        <v>49</v>
      </c>
      <c r="J4" s="18" t="s">
        <v>50</v>
      </c>
      <c r="K4" s="20"/>
      <c r="L4" s="20"/>
      <c r="M4" s="20"/>
      <c r="N4" s="50"/>
      <c r="O4" s="57"/>
    </row>
    <row r="5" spans="2:16" ht="13.2" customHeight="1" x14ac:dyDescent="0.45">
      <c r="G5" s="24"/>
      <c r="J5" s="25"/>
    </row>
    <row r="6" spans="2:16" ht="13.2" customHeight="1" x14ac:dyDescent="0.45">
      <c r="B6" s="18" t="s">
        <v>51</v>
      </c>
      <c r="C6" s="18">
        <v>2</v>
      </c>
      <c r="D6" s="32" t="s">
        <v>52</v>
      </c>
      <c r="E6" s="18" t="s">
        <v>53</v>
      </c>
      <c r="F6" s="19" t="s">
        <v>54</v>
      </c>
      <c r="G6" s="23">
        <v>300</v>
      </c>
      <c r="H6" s="18">
        <v>6</v>
      </c>
      <c r="I6" s="18" t="s">
        <v>55</v>
      </c>
      <c r="J6" s="111">
        <v>43.281926667506205</v>
      </c>
      <c r="K6" s="20"/>
      <c r="L6" s="31"/>
      <c r="M6" s="20"/>
      <c r="N6" s="64" t="str">
        <f>E6</f>
        <v>03860C</v>
      </c>
      <c r="O6" s="110">
        <f>J6</f>
        <v>43.281926667506205</v>
      </c>
    </row>
    <row r="7" spans="2:16" ht="13.2" customHeight="1" x14ac:dyDescent="0.45">
      <c r="B7" s="18" t="s">
        <v>51</v>
      </c>
      <c r="C7" s="18">
        <v>2</v>
      </c>
      <c r="D7" s="32" t="s">
        <v>56</v>
      </c>
      <c r="E7" s="18" t="s">
        <v>57</v>
      </c>
      <c r="F7" s="19" t="s">
        <v>58</v>
      </c>
      <c r="G7" s="23">
        <v>363</v>
      </c>
      <c r="H7" s="18">
        <v>8</v>
      </c>
      <c r="I7" s="18" t="s">
        <v>55</v>
      </c>
      <c r="J7" s="111">
        <v>45.91304443265637</v>
      </c>
      <c r="K7" s="20"/>
      <c r="L7" s="31"/>
      <c r="M7" s="20"/>
      <c r="N7" s="64" t="str">
        <f t="shared" ref="N7:N9" si="0">E7</f>
        <v>04600C</v>
      </c>
      <c r="O7" s="110">
        <f t="shared" ref="O7:O9" si="1">J7</f>
        <v>45.91304443265637</v>
      </c>
    </row>
    <row r="8" spans="2:16" ht="13.2" customHeight="1" x14ac:dyDescent="0.45">
      <c r="B8" s="18" t="s">
        <v>51</v>
      </c>
      <c r="C8" s="18">
        <v>2</v>
      </c>
      <c r="D8" s="32" t="s">
        <v>59</v>
      </c>
      <c r="E8" s="18" t="s">
        <v>60</v>
      </c>
      <c r="F8" s="19" t="s">
        <v>61</v>
      </c>
      <c r="G8" s="23">
        <v>363</v>
      </c>
      <c r="H8" s="18">
        <v>8</v>
      </c>
      <c r="I8" s="18" t="s">
        <v>55</v>
      </c>
      <c r="J8" s="111">
        <v>47.22860331523146</v>
      </c>
      <c r="K8" s="20"/>
      <c r="L8" s="31"/>
      <c r="M8" s="20"/>
      <c r="N8" s="64" t="str">
        <f t="shared" si="0"/>
        <v>04605C</v>
      </c>
      <c r="O8" s="110">
        <f t="shared" si="1"/>
        <v>47.22860331523146</v>
      </c>
    </row>
    <row r="9" spans="2:16" ht="13.2" customHeight="1" x14ac:dyDescent="0.45">
      <c r="B9" s="18" t="s">
        <v>51</v>
      </c>
      <c r="C9" s="18">
        <v>2</v>
      </c>
      <c r="D9" s="32" t="s">
        <v>62</v>
      </c>
      <c r="E9" s="18" t="s">
        <v>63</v>
      </c>
      <c r="F9" s="19" t="s">
        <v>64</v>
      </c>
      <c r="G9" s="23">
        <v>475</v>
      </c>
      <c r="H9" s="18">
        <v>10</v>
      </c>
      <c r="I9" s="18" t="s">
        <v>55</v>
      </c>
      <c r="J9" s="111">
        <v>48.544162197806529</v>
      </c>
      <c r="K9" s="20"/>
      <c r="L9" s="20"/>
      <c r="M9" s="20"/>
      <c r="N9" s="64" t="str">
        <f t="shared" si="0"/>
        <v>05140C</v>
      </c>
      <c r="O9" s="110">
        <f t="shared" si="1"/>
        <v>48.544162197806529</v>
      </c>
    </row>
    <row r="10" spans="2:16" ht="13.2" customHeight="1" x14ac:dyDescent="0.45">
      <c r="B10" s="19"/>
      <c r="C10" s="18"/>
      <c r="D10" s="18"/>
      <c r="E10" s="18"/>
      <c r="F10" s="19"/>
      <c r="G10" s="23"/>
      <c r="H10" s="18"/>
      <c r="I10" s="18"/>
      <c r="J10" s="26"/>
      <c r="K10" s="26"/>
      <c r="L10" s="26"/>
      <c r="M10" s="26"/>
      <c r="N10" s="51"/>
      <c r="O10" s="58"/>
    </row>
    <row r="11" spans="2:16" ht="13.2" customHeight="1" x14ac:dyDescent="0.45">
      <c r="B11" s="19" t="s">
        <v>9</v>
      </c>
      <c r="C11" s="18"/>
      <c r="D11" s="18"/>
      <c r="E11" s="18"/>
      <c r="F11" s="19" t="s">
        <v>65</v>
      </c>
      <c r="G11" s="18"/>
      <c r="H11" s="18"/>
      <c r="I11" s="18"/>
      <c r="J11" s="20"/>
      <c r="K11" s="20"/>
      <c r="L11" s="20"/>
      <c r="M11" s="20"/>
      <c r="N11" s="50"/>
      <c r="O11" s="57"/>
    </row>
    <row r="12" spans="2:16" ht="13.2" customHeight="1" x14ac:dyDescent="0.45">
      <c r="B12" s="19"/>
      <c r="C12" s="18"/>
      <c r="D12" s="18"/>
      <c r="E12" s="18"/>
      <c r="F12" s="19"/>
      <c r="G12" s="18"/>
      <c r="H12" s="18"/>
      <c r="I12" s="18"/>
      <c r="J12" s="20"/>
      <c r="K12" s="20"/>
      <c r="L12" s="20"/>
      <c r="M12" s="20"/>
      <c r="N12" s="50"/>
      <c r="O12" s="57"/>
    </row>
    <row r="13" spans="2:16" ht="13.2" customHeight="1" x14ac:dyDescent="0.45">
      <c r="B13" s="19"/>
      <c r="C13" s="18"/>
      <c r="D13" s="18"/>
      <c r="E13" s="18"/>
      <c r="F13" s="19"/>
      <c r="G13" s="18"/>
      <c r="H13" s="18"/>
      <c r="I13" s="18"/>
      <c r="J13" s="18"/>
      <c r="K13" s="18"/>
      <c r="L13" s="18"/>
      <c r="M13" s="18"/>
      <c r="N13" s="52"/>
      <c r="O13" s="57"/>
    </row>
    <row r="14" spans="2:16" ht="13.2" customHeight="1" x14ac:dyDescent="0.45">
      <c r="B14" s="19"/>
      <c r="C14" s="18"/>
      <c r="D14" s="18"/>
      <c r="E14" s="18"/>
      <c r="F14" s="19"/>
      <c r="G14" s="18"/>
      <c r="H14" s="18"/>
      <c r="I14" s="18"/>
      <c r="J14" s="20"/>
      <c r="K14" s="20"/>
      <c r="L14" s="20"/>
      <c r="M14" s="20"/>
      <c r="N14" s="50"/>
      <c r="O14" s="57"/>
    </row>
    <row r="15" spans="2:16" ht="13.2" customHeight="1" x14ac:dyDescent="0.45">
      <c r="E15" s="1" t="s">
        <v>66</v>
      </c>
      <c r="F15" s="2"/>
      <c r="H15" s="2"/>
      <c r="I15" s="2"/>
      <c r="J15" s="2"/>
      <c r="K15" s="3"/>
      <c r="L15" s="3"/>
      <c r="M15" s="3"/>
      <c r="N15" s="49"/>
      <c r="O15" s="60"/>
      <c r="P15" s="3"/>
    </row>
    <row r="16" spans="2:16" ht="13.2" customHeight="1" x14ac:dyDescent="0.45">
      <c r="E16" s="4" t="s">
        <v>67</v>
      </c>
      <c r="G16" s="5"/>
      <c r="H16" s="6"/>
      <c r="I16" s="6"/>
      <c r="J16" s="7"/>
      <c r="K16" s="7"/>
      <c r="L16" s="3"/>
      <c r="M16" s="3"/>
      <c r="N16" s="49"/>
      <c r="O16" s="60"/>
      <c r="P16" s="3"/>
    </row>
    <row r="17" spans="5:18" ht="13.2" customHeight="1" x14ac:dyDescent="0.45">
      <c r="E17" s="27">
        <v>0.24575323539509997</v>
      </c>
      <c r="F17" s="9" t="s">
        <v>68</v>
      </c>
      <c r="I17" s="10"/>
      <c r="J17" s="11"/>
      <c r="K17" s="11"/>
      <c r="L17" s="12"/>
      <c r="M17" s="12"/>
      <c r="N17" s="49" t="s">
        <v>69</v>
      </c>
      <c r="O17" s="60">
        <v>0.24943953392602644</v>
      </c>
      <c r="P17" s="3"/>
    </row>
    <row r="18" spans="5:18" ht="13.2" customHeight="1" x14ac:dyDescent="0.45">
      <c r="E18" s="27">
        <v>0.33992036297639988</v>
      </c>
      <c r="F18" s="9" t="s">
        <v>70</v>
      </c>
      <c r="I18" s="10"/>
      <c r="J18" s="11"/>
      <c r="K18" s="11"/>
      <c r="L18" s="12"/>
      <c r="M18" s="12"/>
      <c r="N18" s="49" t="s">
        <v>71</v>
      </c>
      <c r="O18" s="60">
        <v>0.34501916842104585</v>
      </c>
      <c r="P18" s="3"/>
    </row>
    <row r="19" spans="5:18" ht="13.2" customHeight="1" x14ac:dyDescent="0.45">
      <c r="E19" s="27">
        <v>0.54107187499999998</v>
      </c>
      <c r="F19" s="9" t="s">
        <v>72</v>
      </c>
      <c r="I19" s="10"/>
      <c r="J19" s="11"/>
      <c r="K19" s="11"/>
      <c r="L19" s="12"/>
      <c r="M19" s="12"/>
      <c r="N19" s="49" t="s">
        <v>73</v>
      </c>
      <c r="O19" s="60">
        <v>0.54918795312499991</v>
      </c>
      <c r="P19" s="3"/>
    </row>
    <row r="20" spans="5:18" ht="13.2" customHeight="1" x14ac:dyDescent="0.45">
      <c r="E20" s="27">
        <v>0.81160781249999991</v>
      </c>
      <c r="F20" s="9" t="s">
        <v>74</v>
      </c>
      <c r="I20" s="10"/>
      <c r="J20" s="11"/>
      <c r="K20" s="11"/>
      <c r="L20" s="12"/>
      <c r="M20" s="12"/>
      <c r="N20" s="49" t="s">
        <v>75</v>
      </c>
      <c r="O20" s="60">
        <v>0.82378192968749986</v>
      </c>
      <c r="P20" s="3"/>
    </row>
    <row r="21" spans="5:18" ht="13.2" customHeight="1" x14ac:dyDescent="0.45">
      <c r="E21" s="13"/>
      <c r="F21" s="14"/>
      <c r="G21" s="13"/>
      <c r="H21" s="13"/>
      <c r="I21" s="13"/>
      <c r="J21" s="13"/>
      <c r="K21" s="13"/>
      <c r="L21" s="13"/>
      <c r="M21" s="13"/>
      <c r="N21" s="56"/>
      <c r="O21" s="59"/>
      <c r="P21" s="13"/>
      <c r="Q21" s="28"/>
      <c r="R21" s="28"/>
    </row>
    <row r="22" spans="5:18" ht="13.2" customHeight="1" x14ac:dyDescent="0.45"/>
    <row r="23" spans="5:18" ht="13.2" customHeight="1" x14ac:dyDescent="0.45">
      <c r="E23" s="1" t="s">
        <v>76</v>
      </c>
    </row>
    <row r="24" spans="5:18" ht="13.2" customHeight="1" x14ac:dyDescent="0.45">
      <c r="F24" s="19" t="s">
        <v>77</v>
      </c>
      <c r="G24" s="33">
        <v>2.0208548499999996</v>
      </c>
      <c r="H24" s="19" t="s">
        <v>78</v>
      </c>
      <c r="N24" s="47" t="s">
        <v>79</v>
      </c>
      <c r="O24" s="48">
        <f>G24</f>
        <v>2.0208548499999996</v>
      </c>
    </row>
    <row r="25" spans="5:18" ht="13.2" customHeight="1" x14ac:dyDescent="0.45">
      <c r="F25" s="19" t="s">
        <v>80</v>
      </c>
      <c r="N25" s="47" t="s">
        <v>81</v>
      </c>
      <c r="O25" s="48">
        <f>O24</f>
        <v>2.0208548499999996</v>
      </c>
    </row>
    <row r="26" spans="5:18" ht="13.2" customHeight="1" x14ac:dyDescent="0.45">
      <c r="F26" s="19" t="s">
        <v>82</v>
      </c>
    </row>
    <row r="27" spans="5:18" ht="13.2" customHeight="1" x14ac:dyDescent="0.45"/>
    <row r="28" spans="5:18" ht="13.2" customHeight="1" x14ac:dyDescent="0.45">
      <c r="F28" s="19" t="s">
        <v>83</v>
      </c>
      <c r="G28" s="33">
        <v>1.37025</v>
      </c>
      <c r="H28" s="19" t="s">
        <v>84</v>
      </c>
      <c r="N28" s="47" t="s">
        <v>85</v>
      </c>
      <c r="O28" s="48">
        <f>G28</f>
        <v>1.37025</v>
      </c>
    </row>
    <row r="29" spans="5:18" ht="13.2" customHeight="1" x14ac:dyDescent="0.45">
      <c r="F29" s="19" t="s">
        <v>86</v>
      </c>
    </row>
    <row r="30" spans="5:18" ht="13.2" customHeight="1" x14ac:dyDescent="0.45">
      <c r="F30" s="19"/>
    </row>
    <row r="31" spans="5:18" s="12" customFormat="1" x14ac:dyDescent="0.45">
      <c r="N31" s="49" t="s">
        <v>87</v>
      </c>
      <c r="O31" s="60">
        <v>35</v>
      </c>
    </row>
    <row r="32" spans="5:18" s="12" customFormat="1" x14ac:dyDescent="0.45">
      <c r="N32" s="49" t="s">
        <v>88</v>
      </c>
      <c r="O32" s="60">
        <v>45</v>
      </c>
    </row>
    <row r="33" spans="2:16" s="3" customFormat="1" x14ac:dyDescent="0.45">
      <c r="N33" s="49"/>
      <c r="O33" s="59"/>
    </row>
    <row r="34" spans="2:16" s="3" customFormat="1" x14ac:dyDescent="0.45">
      <c r="N34" s="49"/>
      <c r="O34" s="59"/>
    </row>
    <row r="35" spans="2:16" s="3" customFormat="1" x14ac:dyDescent="0.45">
      <c r="N35" s="49"/>
      <c r="O35" s="59"/>
    </row>
    <row r="36" spans="2:16" s="3" customFormat="1" x14ac:dyDescent="0.45">
      <c r="N36" s="49"/>
      <c r="O36" s="59"/>
    </row>
    <row r="37" spans="2:16" s="3" customFormat="1" x14ac:dyDescent="0.45">
      <c r="N37" s="49"/>
      <c r="O37" s="59"/>
    </row>
    <row r="38" spans="2:16" s="3" customFormat="1" x14ac:dyDescent="0.45">
      <c r="N38" s="49"/>
      <c r="O38" s="59"/>
    </row>
    <row r="39" spans="2:16" s="3" customFormat="1" x14ac:dyDescent="0.45">
      <c r="N39" s="49"/>
      <c r="O39" s="59"/>
    </row>
    <row r="40" spans="2:16" s="3" customFormat="1" x14ac:dyDescent="0.45">
      <c r="N40" s="49"/>
      <c r="O40" s="59"/>
    </row>
    <row r="41" spans="2:16" s="3" customFormat="1" x14ac:dyDescent="0.45">
      <c r="N41" s="49"/>
      <c r="O41" s="59"/>
    </row>
    <row r="42" spans="2:16" s="3" customFormat="1" x14ac:dyDescent="0.45">
      <c r="N42" s="49"/>
      <c r="O42" s="59"/>
    </row>
    <row r="43" spans="2:16" s="3" customFormat="1" x14ac:dyDescent="0.45">
      <c r="N43" s="49"/>
      <c r="O43" s="59"/>
    </row>
    <row r="44" spans="2:16" s="3" customFormat="1" x14ac:dyDescent="0.45">
      <c r="B44" s="29"/>
      <c r="C44" s="14"/>
      <c r="D44" s="14"/>
      <c r="E44" s="15"/>
      <c r="F44" s="14"/>
      <c r="G44" s="14"/>
      <c r="H44" s="14"/>
      <c r="I44" s="14"/>
      <c r="J44" s="14"/>
      <c r="K44" s="14"/>
      <c r="L44" s="14"/>
      <c r="M44" s="14"/>
      <c r="N44" s="56"/>
      <c r="O44" s="59"/>
      <c r="P44" s="13"/>
    </row>
    <row r="45" spans="2:16" s="3" customFormat="1" x14ac:dyDescent="0.4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56"/>
      <c r="O45" s="59"/>
      <c r="P45" s="13"/>
    </row>
    <row r="46" spans="2:16" s="17" customFormat="1" x14ac:dyDescent="0.45">
      <c r="B46" s="14"/>
      <c r="C46" s="14"/>
      <c r="D46" s="14"/>
      <c r="E46" s="14"/>
      <c r="F46" s="14"/>
      <c r="G46" s="14"/>
      <c r="H46" s="14"/>
      <c r="I46" s="14"/>
      <c r="J46" s="16"/>
      <c r="K46" s="14"/>
      <c r="L46" s="14"/>
      <c r="M46" s="14"/>
      <c r="N46" s="56"/>
      <c r="O46" s="59"/>
      <c r="P46" s="14"/>
    </row>
    <row r="47" spans="2:16" s="3" customFormat="1" x14ac:dyDescent="0.45">
      <c r="B47" s="17"/>
      <c r="C47" s="17"/>
      <c r="D47" s="17"/>
      <c r="G47" s="17"/>
      <c r="H47" s="17"/>
      <c r="J47" s="16"/>
      <c r="K47" s="16"/>
      <c r="L47" s="16"/>
      <c r="N47" s="49"/>
      <c r="O47" s="59"/>
    </row>
    <row r="48" spans="2:16" s="3" customFormat="1" x14ac:dyDescent="0.45">
      <c r="N48" s="49"/>
      <c r="O48" s="59"/>
    </row>
    <row r="49" spans="14:15" s="3" customFormat="1" x14ac:dyDescent="0.45">
      <c r="N49" s="49"/>
      <c r="O49" s="59"/>
    </row>
  </sheetData>
  <customSheetViews>
    <customSheetView guid="{1FE68E9A-AB75-4E2C-B18B-F89E0A523960}" showGridLines="0" fitToPage="1">
      <selection activeCell="O6" sqref="O6"/>
      <pageMargins left="0" right="0" top="0" bottom="0" header="0" footer="0"/>
      <pageSetup fitToHeight="2" orientation="landscape" horizontalDpi="300" r:id="rId1"/>
      <headerFooter alignWithMargins="0"/>
    </customSheetView>
  </customSheetViews>
  <pageMargins left="0" right="0" top="1" bottom="0.5" header="0.5" footer="0.5"/>
  <pageSetup fitToHeight="2" orientation="landscape" horizontalDpi="300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1447-4CC0-4163-9AC1-02D9ACAAA467}">
  <dimension ref="A2:A10"/>
  <sheetViews>
    <sheetView workbookViewId="0">
      <selection activeCell="A3" sqref="A3"/>
    </sheetView>
  </sheetViews>
  <sheetFormatPr defaultRowHeight="12.7" x14ac:dyDescent="0.4"/>
  <cols>
    <col min="1" max="1" width="15.87890625" bestFit="1" customWidth="1"/>
  </cols>
  <sheetData>
    <row r="2" spans="1:1" x14ac:dyDescent="0.4">
      <c r="A2" s="41" t="s">
        <v>98</v>
      </c>
    </row>
    <row r="3" spans="1:1" x14ac:dyDescent="0.4">
      <c r="A3" s="117" t="s">
        <v>126</v>
      </c>
    </row>
    <row r="4" spans="1:1" x14ac:dyDescent="0.4">
      <c r="A4" t="s">
        <v>210</v>
      </c>
    </row>
    <row r="5" spans="1:1" x14ac:dyDescent="0.4">
      <c r="A5" t="s">
        <v>130</v>
      </c>
    </row>
    <row r="6" spans="1:1" x14ac:dyDescent="0.4">
      <c r="A6" s="41" t="s">
        <v>134</v>
      </c>
    </row>
    <row r="7" spans="1:1" x14ac:dyDescent="0.4">
      <c r="A7" t="s">
        <v>164</v>
      </c>
    </row>
    <row r="8" spans="1:1" x14ac:dyDescent="0.4">
      <c r="A8" t="s">
        <v>211</v>
      </c>
    </row>
    <row r="9" spans="1:1" x14ac:dyDescent="0.4">
      <c r="A9" s="73"/>
    </row>
    <row r="10" spans="1:1" x14ac:dyDescent="0.4">
      <c r="A10" s="73"/>
    </row>
  </sheetData>
  <customSheetViews>
    <customSheetView guid="{1FE68E9A-AB75-4E2C-B18B-F89E0A523960}">
      <selection activeCell="J32" sqref="J32"/>
      <pageMargins left="0" right="0" top="0" bottom="0" header="0" footer="0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4"/>
  <sheetViews>
    <sheetView workbookViewId="0">
      <selection activeCell="F24" sqref="F24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3.41015625" style="21" customWidth="1"/>
    <col min="4" max="5" width="8.29296875" style="21" customWidth="1"/>
    <col min="6" max="6" width="36.29296875" style="21" customWidth="1"/>
    <col min="7" max="7" width="7.29296875" style="25" customWidth="1"/>
    <col min="8" max="8" width="11.29296875" style="25" customWidth="1"/>
    <col min="9" max="9" width="7.878906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9" style="25" customWidth="1"/>
    <col min="15" max="15" width="10" style="25" customWidth="1"/>
    <col min="16" max="16384" width="11.41015625" style="21"/>
  </cols>
  <sheetData>
    <row r="1" spans="2:18" ht="13.2" customHeight="1" x14ac:dyDescent="0.45">
      <c r="B1" s="19" t="s">
        <v>116</v>
      </c>
      <c r="C1" s="18"/>
      <c r="D1" s="18"/>
      <c r="E1" s="18"/>
      <c r="F1" s="19"/>
      <c r="G1" s="18"/>
      <c r="H1" s="18"/>
      <c r="I1" s="18"/>
      <c r="J1" s="20"/>
      <c r="K1" s="20"/>
      <c r="L1" s="20"/>
      <c r="M1" s="20"/>
      <c r="N1" s="20"/>
      <c r="O1" s="20"/>
    </row>
    <row r="2" spans="2:18" ht="13.2" customHeight="1" x14ac:dyDescent="0.45">
      <c r="B2" s="19"/>
      <c r="C2" s="18"/>
      <c r="D2" s="18"/>
      <c r="E2" s="18"/>
      <c r="F2" s="19"/>
      <c r="G2" s="18"/>
      <c r="H2" s="18"/>
      <c r="I2" s="18"/>
      <c r="J2" s="20"/>
      <c r="K2" s="20"/>
      <c r="L2" s="20"/>
      <c r="M2" s="20"/>
      <c r="N2" s="20"/>
      <c r="O2" s="20"/>
    </row>
    <row r="3" spans="2:18" ht="13.2" customHeight="1" x14ac:dyDescent="0.45">
      <c r="B3" s="22"/>
      <c r="C3" s="18"/>
      <c r="D3" s="18"/>
      <c r="E3" s="18"/>
      <c r="F3" s="19"/>
      <c r="G3" s="18"/>
      <c r="H3" s="18"/>
      <c r="I3" s="18"/>
      <c r="J3" s="18"/>
      <c r="K3" s="20"/>
      <c r="L3" s="20"/>
      <c r="M3" s="20"/>
      <c r="N3" s="20"/>
      <c r="O3" s="20"/>
    </row>
    <row r="4" spans="2:18" ht="26" x14ac:dyDescent="0.45">
      <c r="B4" s="36" t="s">
        <v>43</v>
      </c>
      <c r="C4" s="36" t="s">
        <v>44</v>
      </c>
      <c r="D4" s="36" t="s">
        <v>157</v>
      </c>
      <c r="E4" s="36" t="s">
        <v>152</v>
      </c>
      <c r="F4" s="37" t="s">
        <v>153</v>
      </c>
      <c r="G4" s="38" t="s">
        <v>47</v>
      </c>
      <c r="H4" s="39" t="s">
        <v>212</v>
      </c>
      <c r="I4" s="36" t="s">
        <v>213</v>
      </c>
      <c r="J4" s="39" t="s">
        <v>214</v>
      </c>
      <c r="K4" s="20"/>
      <c r="L4" s="20"/>
      <c r="M4" s="20"/>
      <c r="N4" s="20"/>
      <c r="O4" s="20"/>
    </row>
    <row r="5" spans="2:18" ht="13.2" customHeight="1" x14ac:dyDescent="0.45">
      <c r="B5" s="18" t="s">
        <v>51</v>
      </c>
      <c r="C5" s="18">
        <v>2</v>
      </c>
      <c r="D5" s="32" t="s">
        <v>52</v>
      </c>
      <c r="E5" s="18" t="s">
        <v>53</v>
      </c>
      <c r="F5" s="19" t="s">
        <v>54</v>
      </c>
      <c r="G5" s="23">
        <v>300</v>
      </c>
      <c r="H5" s="18">
        <v>6</v>
      </c>
      <c r="I5" s="18" t="s">
        <v>55</v>
      </c>
      <c r="J5" s="30">
        <v>43.281926667506205</v>
      </c>
      <c r="K5" s="34" t="e">
        <f>J5-'May 1, 2017'!#REF!</f>
        <v>#REF!</v>
      </c>
      <c r="L5" s="31" t="e">
        <f>K5/'May 1, 2017'!#REF!</f>
        <v>#REF!</v>
      </c>
      <c r="M5" s="20"/>
      <c r="N5" s="20"/>
      <c r="O5" s="20"/>
    </row>
    <row r="6" spans="2:18" ht="13.2" customHeight="1" x14ac:dyDescent="0.45">
      <c r="B6" s="18" t="s">
        <v>51</v>
      </c>
      <c r="C6" s="18">
        <v>2</v>
      </c>
      <c r="D6" s="32" t="s">
        <v>56</v>
      </c>
      <c r="E6" s="18" t="s">
        <v>57</v>
      </c>
      <c r="F6" s="19" t="s">
        <v>58</v>
      </c>
      <c r="G6" s="23">
        <v>363</v>
      </c>
      <c r="H6" s="18">
        <v>8</v>
      </c>
      <c r="I6" s="18" t="s">
        <v>55</v>
      </c>
      <c r="J6" s="30">
        <v>45.91304443265637</v>
      </c>
      <c r="K6" s="34"/>
      <c r="L6" s="31"/>
      <c r="M6" s="20"/>
      <c r="N6" s="20"/>
      <c r="O6" s="20"/>
    </row>
    <row r="7" spans="2:18" ht="13.2" customHeight="1" x14ac:dyDescent="0.45">
      <c r="B7" s="18" t="s">
        <v>51</v>
      </c>
      <c r="C7" s="18">
        <v>2</v>
      </c>
      <c r="D7" s="32" t="s">
        <v>59</v>
      </c>
      <c r="E7" s="18" t="s">
        <v>60</v>
      </c>
      <c r="F7" s="19" t="s">
        <v>61</v>
      </c>
      <c r="G7" s="23">
        <v>363</v>
      </c>
      <c r="H7" s="18">
        <v>8</v>
      </c>
      <c r="I7" s="18" t="s">
        <v>55</v>
      </c>
      <c r="J7" s="30">
        <v>47.22860331523146</v>
      </c>
      <c r="K7" s="34"/>
      <c r="L7" s="31"/>
      <c r="M7" s="20"/>
      <c r="N7" s="20"/>
      <c r="O7" s="20"/>
    </row>
    <row r="8" spans="2:18" ht="13.2" customHeight="1" x14ac:dyDescent="0.45">
      <c r="B8" s="19"/>
      <c r="C8" s="18"/>
      <c r="D8" s="18"/>
      <c r="E8" s="18"/>
      <c r="F8" s="19"/>
      <c r="G8" s="23"/>
      <c r="H8" s="18"/>
      <c r="I8" s="18"/>
      <c r="J8" s="26"/>
      <c r="K8" s="26"/>
      <c r="L8" s="26"/>
      <c r="M8" s="26"/>
      <c r="N8" s="26"/>
      <c r="O8" s="26"/>
    </row>
    <row r="9" spans="2:18" ht="13.2" customHeight="1" x14ac:dyDescent="0.45">
      <c r="B9" s="19"/>
      <c r="C9" s="18"/>
      <c r="D9" s="18"/>
      <c r="E9" s="18"/>
      <c r="F9" s="19"/>
      <c r="G9" s="18"/>
      <c r="H9" s="18"/>
      <c r="I9" s="18"/>
      <c r="J9" s="20"/>
      <c r="K9" s="20"/>
      <c r="L9" s="20"/>
      <c r="M9" s="20"/>
      <c r="N9" s="20"/>
      <c r="O9" s="20"/>
    </row>
    <row r="10" spans="2:18" ht="13.2" customHeight="1" x14ac:dyDescent="0.45">
      <c r="E10" s="1" t="s">
        <v>66</v>
      </c>
      <c r="F10" s="2"/>
      <c r="H10" s="2"/>
      <c r="I10" s="2"/>
      <c r="J10" s="2"/>
      <c r="K10" s="3"/>
      <c r="L10" s="3"/>
      <c r="M10" s="3"/>
      <c r="N10" s="3"/>
      <c r="O10" s="3"/>
      <c r="P10" s="3"/>
    </row>
    <row r="11" spans="2:18" ht="13.2" customHeight="1" x14ac:dyDescent="0.45">
      <c r="E11" s="4" t="s">
        <v>67</v>
      </c>
      <c r="G11" s="5"/>
      <c r="H11" s="6"/>
      <c r="I11" s="6"/>
      <c r="J11" s="7"/>
      <c r="K11" s="7"/>
      <c r="L11" s="3"/>
      <c r="M11" s="3"/>
      <c r="N11" s="3"/>
      <c r="O11" s="3"/>
      <c r="P11" s="3"/>
    </row>
    <row r="12" spans="2:18" ht="13.2" customHeight="1" x14ac:dyDescent="0.45">
      <c r="E12" s="27">
        <v>0.24943953392602644</v>
      </c>
      <c r="F12" s="9" t="s">
        <v>68</v>
      </c>
      <c r="I12" s="10"/>
      <c r="J12" s="11"/>
      <c r="K12" s="11"/>
      <c r="L12" s="12"/>
      <c r="M12" s="12"/>
      <c r="N12" s="12"/>
      <c r="O12" s="3"/>
      <c r="P12" s="3"/>
    </row>
    <row r="13" spans="2:18" ht="13.2" customHeight="1" x14ac:dyDescent="0.45">
      <c r="E13" s="27">
        <v>0.34501916842104585</v>
      </c>
      <c r="F13" s="9" t="s">
        <v>70</v>
      </c>
      <c r="I13" s="10"/>
      <c r="J13" s="11"/>
      <c r="K13" s="11"/>
      <c r="L13" s="12"/>
      <c r="M13" s="12"/>
      <c r="N13" s="12"/>
      <c r="O13" s="3"/>
      <c r="P13" s="3"/>
    </row>
    <row r="14" spans="2:18" ht="13.2" customHeight="1" x14ac:dyDescent="0.45">
      <c r="E14" s="27">
        <v>0.54918795312499991</v>
      </c>
      <c r="F14" s="9" t="s">
        <v>72</v>
      </c>
      <c r="I14" s="10"/>
      <c r="J14" s="11"/>
      <c r="K14" s="11"/>
      <c r="L14" s="12"/>
      <c r="M14" s="12"/>
      <c r="N14" s="12"/>
      <c r="O14" s="3"/>
      <c r="P14" s="3"/>
    </row>
    <row r="15" spans="2:18" ht="13.2" customHeight="1" x14ac:dyDescent="0.45">
      <c r="E15" s="27">
        <v>0.82378192968749986</v>
      </c>
      <c r="F15" s="9" t="s">
        <v>74</v>
      </c>
      <c r="I15" s="10"/>
      <c r="J15" s="11"/>
      <c r="K15" s="11"/>
      <c r="L15" s="12"/>
      <c r="M15" s="12"/>
      <c r="N15" s="12"/>
      <c r="O15" s="3"/>
      <c r="P15" s="3"/>
    </row>
    <row r="16" spans="2:18" ht="13.2" customHeight="1" x14ac:dyDescent="0.45">
      <c r="E16" s="13"/>
      <c r="F16" s="14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28"/>
      <c r="R16" s="28"/>
    </row>
    <row r="17" spans="5:15" ht="13.2" customHeight="1" x14ac:dyDescent="0.45"/>
    <row r="18" spans="5:15" ht="13.2" customHeight="1" x14ac:dyDescent="0.45">
      <c r="E18" s="1" t="s">
        <v>76</v>
      </c>
    </row>
    <row r="19" spans="5:15" ht="13.2" customHeight="1" x14ac:dyDescent="0.45">
      <c r="E19" s="45" t="s">
        <v>77</v>
      </c>
      <c r="G19" s="27">
        <v>2.0208548499999996</v>
      </c>
      <c r="H19" s="19" t="s">
        <v>78</v>
      </c>
    </row>
    <row r="20" spans="5:15" ht="13.2" customHeight="1" x14ac:dyDescent="0.45">
      <c r="E20" s="45" t="s">
        <v>80</v>
      </c>
    </row>
    <row r="21" spans="5:15" ht="13.2" customHeight="1" x14ac:dyDescent="0.45">
      <c r="E21" s="45" t="s">
        <v>82</v>
      </c>
    </row>
    <row r="22" spans="5:15" ht="13.2" customHeight="1" x14ac:dyDescent="0.45">
      <c r="E22" s="46"/>
    </row>
    <row r="23" spans="5:15" ht="13.2" customHeight="1" x14ac:dyDescent="0.45">
      <c r="E23" s="45" t="s">
        <v>83</v>
      </c>
      <c r="G23" s="30">
        <v>1.37025</v>
      </c>
      <c r="H23" s="19" t="s">
        <v>84</v>
      </c>
    </row>
    <row r="24" spans="5:15" ht="13.2" customHeight="1" x14ac:dyDescent="0.45">
      <c r="E24" s="45" t="s">
        <v>86</v>
      </c>
    </row>
    <row r="26" spans="5:15" s="12" customFormat="1" x14ac:dyDescent="0.45">
      <c r="O26" s="1"/>
    </row>
    <row r="27" spans="5:15" s="12" customFormat="1" x14ac:dyDescent="0.45">
      <c r="O27" s="1"/>
    </row>
    <row r="28" spans="5:15" s="3" customFormat="1" x14ac:dyDescent="0.45">
      <c r="O28" s="13"/>
    </row>
    <row r="29" spans="5:15" s="3" customFormat="1" x14ac:dyDescent="0.45">
      <c r="O29" s="13"/>
    </row>
    <row r="30" spans="5:15" s="3" customFormat="1" x14ac:dyDescent="0.45">
      <c r="O30" s="13"/>
    </row>
    <row r="31" spans="5:15" s="3" customFormat="1" x14ac:dyDescent="0.45">
      <c r="O31" s="13"/>
    </row>
    <row r="32" spans="5:15" s="3" customFormat="1" x14ac:dyDescent="0.45">
      <c r="O32" s="13"/>
    </row>
    <row r="33" spans="2:16" s="3" customFormat="1" x14ac:dyDescent="0.45">
      <c r="O33" s="13"/>
    </row>
    <row r="34" spans="2:16" s="3" customFormat="1" x14ac:dyDescent="0.45">
      <c r="O34" s="13"/>
    </row>
    <row r="35" spans="2:16" s="3" customFormat="1" x14ac:dyDescent="0.45">
      <c r="O35" s="13"/>
    </row>
    <row r="36" spans="2:16" s="3" customFormat="1" x14ac:dyDescent="0.45">
      <c r="O36" s="13"/>
    </row>
    <row r="37" spans="2:16" s="3" customFormat="1" x14ac:dyDescent="0.45">
      <c r="O37" s="13"/>
    </row>
    <row r="38" spans="2:16" s="3" customFormat="1" x14ac:dyDescent="0.45">
      <c r="O38" s="13"/>
    </row>
    <row r="39" spans="2:16" s="3" customFormat="1" x14ac:dyDescent="0.45">
      <c r="B39" s="29"/>
      <c r="C39" s="14"/>
      <c r="D39" s="14"/>
      <c r="E39" s="15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</row>
    <row r="40" spans="2:16" s="3" customFormat="1" x14ac:dyDescent="0.4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</row>
    <row r="41" spans="2:16" s="17" customFormat="1" x14ac:dyDescent="0.45">
      <c r="B41" s="14"/>
      <c r="C41" s="14"/>
      <c r="D41" s="14"/>
      <c r="E41" s="14"/>
      <c r="F41" s="14"/>
      <c r="G41" s="14"/>
      <c r="H41" s="14"/>
      <c r="I41" s="14"/>
      <c r="J41" s="16"/>
      <c r="K41" s="14"/>
      <c r="L41" s="14"/>
      <c r="M41" s="14"/>
      <c r="N41" s="14"/>
      <c r="O41" s="14"/>
      <c r="P41" s="14"/>
    </row>
    <row r="42" spans="2:16" s="3" customFormat="1" x14ac:dyDescent="0.45">
      <c r="B42" s="17"/>
      <c r="C42" s="17"/>
      <c r="D42" s="17"/>
      <c r="G42" s="17"/>
      <c r="H42" s="17"/>
      <c r="J42" s="16"/>
      <c r="K42" s="16"/>
      <c r="L42" s="16"/>
      <c r="O42" s="13"/>
    </row>
    <row r="43" spans="2:16" s="3" customFormat="1" x14ac:dyDescent="0.45">
      <c r="O43" s="13"/>
    </row>
    <row r="44" spans="2:16" s="3" customFormat="1" x14ac:dyDescent="0.45">
      <c r="O44" s="13"/>
    </row>
  </sheetData>
  <customSheetViews>
    <customSheetView guid="{1FE68E9A-AB75-4E2C-B18B-F89E0A523960}" fitToPage="1" state="hidden">
      <selection activeCell="F24" sqref="F24"/>
      <pageMargins left="0" right="0" top="0" bottom="0" header="0" footer="0"/>
      <pageSetup fitToHeight="2" orientation="landscape" horizontalDpi="300" r:id="rId1"/>
      <headerFooter alignWithMargins="0"/>
    </customSheetView>
  </customSheetViews>
  <pageMargins left="0" right="0" top="1" bottom="0.5" header="0.5" footer="0.5"/>
  <pageSetup fitToHeight="2" orientation="landscape" horizontalDpi="300" r:id="rId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A633-BA8E-4357-B86B-24127B1529F8}">
  <dimension ref="A1:C12"/>
  <sheetViews>
    <sheetView workbookViewId="0">
      <selection activeCell="C35" sqref="C35"/>
    </sheetView>
  </sheetViews>
  <sheetFormatPr defaultRowHeight="12.7" x14ac:dyDescent="0.4"/>
  <cols>
    <col min="1" max="1" width="10.1171875" bestFit="1" customWidth="1"/>
    <col min="3" max="3" width="114.1171875" bestFit="1" customWidth="1"/>
  </cols>
  <sheetData>
    <row r="1" spans="1:3" x14ac:dyDescent="0.4">
      <c r="A1" t="s">
        <v>215</v>
      </c>
      <c r="B1" t="s">
        <v>216</v>
      </c>
      <c r="C1" t="s">
        <v>217</v>
      </c>
    </row>
    <row r="2" spans="1:3" ht="25.35" x14ac:dyDescent="0.4">
      <c r="A2" t="s">
        <v>218</v>
      </c>
      <c r="B2" t="s">
        <v>218</v>
      </c>
      <c r="C2" s="77" t="s">
        <v>219</v>
      </c>
    </row>
    <row r="3" spans="1:3" x14ac:dyDescent="0.4">
      <c r="A3" t="s">
        <v>218</v>
      </c>
      <c r="B3" t="s">
        <v>218</v>
      </c>
      <c r="C3" s="41" t="s">
        <v>220</v>
      </c>
    </row>
    <row r="4" spans="1:3" x14ac:dyDescent="0.4">
      <c r="A4" s="40">
        <v>43767</v>
      </c>
      <c r="B4" t="s">
        <v>221</v>
      </c>
      <c r="C4" t="s">
        <v>222</v>
      </c>
    </row>
    <row r="5" spans="1:3" x14ac:dyDescent="0.4">
      <c r="A5" s="40">
        <v>43767</v>
      </c>
      <c r="B5" t="s">
        <v>221</v>
      </c>
      <c r="C5" s="41" t="s">
        <v>223</v>
      </c>
    </row>
    <row r="6" spans="1:3" x14ac:dyDescent="0.4">
      <c r="A6" s="40">
        <v>43768</v>
      </c>
      <c r="B6" s="41" t="s">
        <v>221</v>
      </c>
      <c r="C6" s="41" t="s">
        <v>224</v>
      </c>
    </row>
    <row r="7" spans="1:3" x14ac:dyDescent="0.4">
      <c r="A7" s="40">
        <v>43805</v>
      </c>
      <c r="B7" s="41" t="s">
        <v>221</v>
      </c>
      <c r="C7" s="41" t="s">
        <v>225</v>
      </c>
    </row>
    <row r="8" spans="1:3" x14ac:dyDescent="0.4">
      <c r="A8" s="40">
        <v>44084</v>
      </c>
      <c r="B8" s="41" t="s">
        <v>221</v>
      </c>
      <c r="C8" s="43" t="s">
        <v>226</v>
      </c>
    </row>
    <row r="9" spans="1:3" x14ac:dyDescent="0.4">
      <c r="A9" s="40"/>
      <c r="B9" s="41"/>
      <c r="C9" s="75" t="s">
        <v>227</v>
      </c>
    </row>
    <row r="10" spans="1:3" x14ac:dyDescent="0.4">
      <c r="C10" s="43" t="s">
        <v>228</v>
      </c>
    </row>
    <row r="11" spans="1:3" x14ac:dyDescent="0.4">
      <c r="C11" s="70" t="s">
        <v>229</v>
      </c>
    </row>
    <row r="12" spans="1:3" x14ac:dyDescent="0.4">
      <c r="C12" s="44" t="s">
        <v>230</v>
      </c>
    </row>
  </sheetData>
  <customSheetViews>
    <customSheetView guid="{1FE68E9A-AB75-4E2C-B18B-F89E0A523960}">
      <selection activeCell="C8" sqref="C8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D8E2-59D7-4AA4-9700-10CB6B237195}">
  <sheetPr>
    <pageSetUpPr fitToPage="1"/>
  </sheetPr>
  <dimension ref="B1:P47"/>
  <sheetViews>
    <sheetView showGridLines="0" zoomScaleNormal="100" workbookViewId="0"/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29296875" style="21" customWidth="1"/>
    <col min="4" max="5" width="8.29296875" style="21" customWidth="1"/>
    <col min="6" max="6" width="36.29296875" style="21" customWidth="1"/>
    <col min="7" max="7" width="7.29296875" style="25" customWidth="1"/>
    <col min="8" max="8" width="3.41015625" style="25" customWidth="1"/>
    <col min="9" max="9" width="2.87890625" style="25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3.5859375" style="47" hidden="1" customWidth="1"/>
    <col min="15" max="15" width="11" style="48" hidden="1" customWidth="1"/>
    <col min="16" max="16" width="25.703125" style="62" hidden="1" customWidth="1"/>
    <col min="17" max="16384" width="11.41015625" style="21"/>
  </cols>
  <sheetData>
    <row r="1" spans="2:16" x14ac:dyDescent="0.45">
      <c r="B1" s="72" t="s">
        <v>89</v>
      </c>
      <c r="N1" s="112"/>
      <c r="O1" s="113"/>
      <c r="P1" s="114"/>
    </row>
    <row r="2" spans="2:16" ht="13.2" customHeight="1" x14ac:dyDescent="0.45">
      <c r="B2" s="19" t="s">
        <v>90</v>
      </c>
      <c r="C2" s="18"/>
      <c r="D2" s="18"/>
      <c r="E2" s="18"/>
      <c r="F2" s="19"/>
      <c r="G2" s="18"/>
      <c r="H2" s="18"/>
      <c r="I2" s="18"/>
      <c r="J2" s="20"/>
      <c r="K2" s="20"/>
      <c r="L2" s="20"/>
      <c r="M2" s="20"/>
      <c r="N2" s="115" t="s">
        <v>91</v>
      </c>
      <c r="O2" s="116">
        <v>1</v>
      </c>
      <c r="P2" s="114" t="s">
        <v>92</v>
      </c>
    </row>
    <row r="3" spans="2:16" ht="13.2" customHeight="1" x14ac:dyDescent="0.45">
      <c r="B3" s="19"/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64" t="s">
        <v>93</v>
      </c>
      <c r="O3" s="74">
        <v>1.0249999999999999</v>
      </c>
      <c r="P3" s="62" t="s">
        <v>94</v>
      </c>
    </row>
    <row r="4" spans="2:16" ht="13.2" customHeight="1" x14ac:dyDescent="0.45">
      <c r="B4" s="22"/>
      <c r="C4" s="18"/>
      <c r="D4" s="18"/>
      <c r="E4" s="18"/>
      <c r="F4" s="19"/>
      <c r="G4" s="18"/>
      <c r="H4" s="18"/>
      <c r="I4" s="18"/>
      <c r="J4" s="18" t="s">
        <v>42</v>
      </c>
      <c r="K4" s="20"/>
      <c r="L4" s="20"/>
      <c r="M4" s="20"/>
      <c r="N4" s="112" t="s">
        <v>95</v>
      </c>
      <c r="O4" s="116">
        <f>IncrPerc2018v2*IncrPerc2018</f>
        <v>1.0249999999999999</v>
      </c>
    </row>
    <row r="5" spans="2:16" ht="13.2" customHeight="1" x14ac:dyDescent="0.45">
      <c r="B5" s="18" t="s">
        <v>43</v>
      </c>
      <c r="C5" s="18" t="s">
        <v>44</v>
      </c>
      <c r="D5" s="18" t="s">
        <v>96</v>
      </c>
      <c r="E5" s="18" t="s">
        <v>45</v>
      </c>
      <c r="F5" s="19" t="s">
        <v>46</v>
      </c>
      <c r="G5" s="23" t="s">
        <v>47</v>
      </c>
      <c r="H5" s="18" t="s">
        <v>48</v>
      </c>
      <c r="I5" s="18" t="s">
        <v>49</v>
      </c>
      <c r="J5" s="18" t="s">
        <v>50</v>
      </c>
      <c r="K5" s="20"/>
      <c r="L5" s="20"/>
      <c r="M5" s="20"/>
      <c r="N5" s="64" t="s">
        <v>97</v>
      </c>
      <c r="O5" s="63" t="s">
        <v>98</v>
      </c>
    </row>
    <row r="6" spans="2:16" ht="13.2" customHeight="1" x14ac:dyDescent="0.45">
      <c r="G6" s="24"/>
      <c r="J6" s="25"/>
    </row>
    <row r="7" spans="2:16" ht="13.2" customHeight="1" x14ac:dyDescent="0.45">
      <c r="B7" s="25" t="s">
        <v>51</v>
      </c>
      <c r="C7" s="25">
        <v>2</v>
      </c>
      <c r="D7" s="42" t="s">
        <v>52</v>
      </c>
      <c r="E7" s="25" t="s">
        <v>53</v>
      </c>
      <c r="F7" s="22" t="s">
        <v>54</v>
      </c>
      <c r="G7" s="24">
        <v>300</v>
      </c>
      <c r="H7" s="25">
        <v>6</v>
      </c>
      <c r="I7" s="25" t="s">
        <v>55</v>
      </c>
      <c r="J7" s="67">
        <f ca="1">O7</f>
        <v>44.363974834193854</v>
      </c>
      <c r="K7" s="65"/>
      <c r="L7" s="66"/>
      <c r="M7" s="20"/>
      <c r="N7" s="64" t="str">
        <f>E7</f>
        <v>03860C</v>
      </c>
      <c r="O7" s="48">
        <f ca="1">VLOOKUP(N7,INDIRECT($O$5),2,0)*IncrPerc2018*IncrPerc2018v2</f>
        <v>44.363974834193854</v>
      </c>
      <c r="P7" s="62" t="str">
        <f>F7</f>
        <v>Electrician</v>
      </c>
    </row>
    <row r="8" spans="2:16" ht="13.2" customHeight="1" x14ac:dyDescent="0.45">
      <c r="B8" s="25" t="s">
        <v>51</v>
      </c>
      <c r="C8" s="25">
        <v>2</v>
      </c>
      <c r="D8" s="42" t="s">
        <v>56</v>
      </c>
      <c r="E8" s="25" t="s">
        <v>57</v>
      </c>
      <c r="F8" s="22" t="s">
        <v>58</v>
      </c>
      <c r="G8" s="24">
        <v>363</v>
      </c>
      <c r="H8" s="25">
        <v>8</v>
      </c>
      <c r="I8" s="25" t="s">
        <v>55</v>
      </c>
      <c r="J8" s="67">
        <f t="shared" ref="J8:J9" ca="1" si="0">O8</f>
        <v>47.060870543472774</v>
      </c>
      <c r="K8" s="65"/>
      <c r="L8" s="66"/>
      <c r="M8" s="20"/>
      <c r="N8" s="64" t="str">
        <f t="shared" ref="N8:N9" si="1">E8</f>
        <v>04600C</v>
      </c>
      <c r="O8" s="48">
        <f ca="1">VLOOKUP(N8,INDIRECT($O$5),2,0)*IncrPerc2018*IncrPerc2018v2</f>
        <v>47.060870543472774</v>
      </c>
      <c r="P8" s="62" t="str">
        <f t="shared" ref="P8:P11" si="2">F8</f>
        <v>Foreman, Electrician</v>
      </c>
    </row>
    <row r="9" spans="2:16" ht="13.2" customHeight="1" x14ac:dyDescent="0.45">
      <c r="B9" s="25" t="s">
        <v>51</v>
      </c>
      <c r="C9" s="25">
        <v>2</v>
      </c>
      <c r="D9" s="42" t="s">
        <v>59</v>
      </c>
      <c r="E9" s="25" t="s">
        <v>60</v>
      </c>
      <c r="F9" s="22" t="s">
        <v>61</v>
      </c>
      <c r="G9" s="24">
        <v>363</v>
      </c>
      <c r="H9" s="25">
        <v>8</v>
      </c>
      <c r="I9" s="25" t="s">
        <v>55</v>
      </c>
      <c r="J9" s="67">
        <f t="shared" ca="1" si="0"/>
        <v>48.409318398112241</v>
      </c>
      <c r="K9" s="65"/>
      <c r="L9" s="66"/>
      <c r="M9" s="20"/>
      <c r="N9" s="64" t="str">
        <f t="shared" si="1"/>
        <v>04605C</v>
      </c>
      <c r="O9" s="48">
        <f ca="1">VLOOKUP(N9,INDIRECT($O$5),2,0)*IncrPerc2018*IncrPerc2018v2</f>
        <v>48.409318398112241</v>
      </c>
      <c r="P9" s="62" t="str">
        <f t="shared" si="2"/>
        <v xml:space="preserve">Foreman, (Master) Electrician </v>
      </c>
    </row>
    <row r="10" spans="2:16" ht="13.2" customHeight="1" x14ac:dyDescent="0.45">
      <c r="B10" s="25" t="s">
        <v>51</v>
      </c>
      <c r="C10" s="25">
        <v>2</v>
      </c>
      <c r="D10" s="42" t="s">
        <v>62</v>
      </c>
      <c r="E10" s="25" t="s">
        <v>63</v>
      </c>
      <c r="F10" s="22" t="s">
        <v>64</v>
      </c>
      <c r="G10" s="24">
        <v>475</v>
      </c>
      <c r="H10" s="25">
        <v>10</v>
      </c>
      <c r="I10" s="25" t="s">
        <v>55</v>
      </c>
      <c r="J10" s="67">
        <f ca="1">O10</f>
        <v>49.757766252751686</v>
      </c>
      <c r="K10" s="20"/>
      <c r="L10" s="20"/>
      <c r="M10" s="20"/>
      <c r="N10" s="50" t="str">
        <f>E10</f>
        <v>05140C</v>
      </c>
      <c r="O10" s="48">
        <f ca="1">VLOOKUP(N10,INDIRECT($O$5),2,0)*IncrPerc2018*IncrPerc2018v2</f>
        <v>49.757766252751686</v>
      </c>
      <c r="P10" s="62" t="str">
        <f t="shared" si="2"/>
        <v>*General Foreman, Electrician</v>
      </c>
    </row>
    <row r="11" spans="2:16" ht="13.2" customHeight="1" x14ac:dyDescent="0.45">
      <c r="B11" s="25" t="s">
        <v>51</v>
      </c>
      <c r="C11" s="25">
        <v>2</v>
      </c>
      <c r="D11" s="42" t="s">
        <v>62</v>
      </c>
      <c r="E11" s="25" t="s">
        <v>99</v>
      </c>
      <c r="F11" s="22" t="s">
        <v>100</v>
      </c>
      <c r="G11" s="24"/>
      <c r="H11" s="25">
        <v>10</v>
      </c>
      <c r="I11" s="25" t="s">
        <v>55</v>
      </c>
      <c r="J11" s="67">
        <f ca="1">O11</f>
        <v>49.757766252751686</v>
      </c>
      <c r="K11" s="20"/>
      <c r="L11" s="20"/>
      <c r="M11" s="20"/>
      <c r="N11" s="50" t="s">
        <v>99</v>
      </c>
      <c r="O11" s="48">
        <f ca="1">O10</f>
        <v>49.757766252751686</v>
      </c>
      <c r="P11" s="62" t="str">
        <f t="shared" si="2"/>
        <v>*Supervisor Water Plant Electrical and Control Systems</v>
      </c>
    </row>
    <row r="12" spans="2:16" ht="13.2" customHeight="1" x14ac:dyDescent="0.45">
      <c r="B12" s="18"/>
      <c r="C12" s="18"/>
      <c r="D12" s="32"/>
      <c r="E12" s="18"/>
      <c r="G12" s="23"/>
      <c r="H12" s="18"/>
      <c r="I12" s="18"/>
      <c r="J12" s="30"/>
      <c r="K12" s="20"/>
      <c r="L12" s="20"/>
      <c r="M12" s="20"/>
      <c r="N12" s="50"/>
      <c r="O12" s="57"/>
    </row>
    <row r="13" spans="2:16" ht="13.2" customHeight="1" x14ac:dyDescent="0.45">
      <c r="B13" s="18"/>
      <c r="C13" s="18"/>
      <c r="D13" s="32"/>
      <c r="E13" s="18"/>
      <c r="F13" s="22" t="s">
        <v>101</v>
      </c>
      <c r="G13" s="23"/>
      <c r="H13" s="18"/>
      <c r="I13" s="18"/>
      <c r="J13" s="30"/>
      <c r="K13" s="20"/>
      <c r="L13" s="20"/>
      <c r="M13" s="20"/>
      <c r="N13" s="50"/>
      <c r="O13" s="57"/>
    </row>
    <row r="14" spans="2:16" ht="13.2" customHeight="1" x14ac:dyDescent="0.45">
      <c r="C14" s="1" t="s">
        <v>66</v>
      </c>
      <c r="D14" s="2"/>
      <c r="H14" s="2"/>
      <c r="I14" s="2"/>
      <c r="J14" s="2"/>
      <c r="K14" s="3"/>
      <c r="L14" s="3"/>
      <c r="M14" s="3"/>
      <c r="N14" s="49"/>
      <c r="O14" s="60"/>
    </row>
    <row r="15" spans="2:16" ht="13.2" customHeight="1" x14ac:dyDescent="0.45">
      <c r="C15" s="8" t="s">
        <v>67</v>
      </c>
      <c r="G15" s="5"/>
      <c r="H15" s="6"/>
      <c r="I15" s="6"/>
      <c r="J15" s="7"/>
      <c r="K15" s="7"/>
      <c r="L15" s="3"/>
      <c r="M15" s="3"/>
      <c r="N15" s="49"/>
      <c r="O15" s="60"/>
    </row>
    <row r="16" spans="2:16" ht="13.2" customHeight="1" x14ac:dyDescent="0.45">
      <c r="C16" s="67">
        <f ca="1">O16</f>
        <v>0.25567552227417706</v>
      </c>
      <c r="D16" s="5" t="s">
        <v>68</v>
      </c>
      <c r="I16" s="10"/>
      <c r="J16" s="11"/>
      <c r="K16" s="11"/>
      <c r="L16" s="12"/>
      <c r="M16" s="12"/>
      <c r="N16" s="49" t="s">
        <v>69</v>
      </c>
      <c r="O16" s="48">
        <f ca="1">VLOOKUP(N16,INDIRECT($O$5),2,0)*IncrPerc2018*IncrPerc2018v2</f>
        <v>0.25567552227417706</v>
      </c>
      <c r="P16" s="62" t="s">
        <v>102</v>
      </c>
    </row>
    <row r="17" spans="3:16" ht="13.2" customHeight="1" x14ac:dyDescent="0.45">
      <c r="C17" s="67">
        <f ca="1">O17</f>
        <v>0.35364464763157194</v>
      </c>
      <c r="D17" s="5" t="s">
        <v>70</v>
      </c>
      <c r="I17" s="10"/>
      <c r="J17" s="11"/>
      <c r="K17" s="11"/>
      <c r="L17" s="12"/>
      <c r="M17" s="12"/>
      <c r="N17" s="49" t="s">
        <v>71</v>
      </c>
      <c r="O17" s="48">
        <f ca="1">VLOOKUP(N17,INDIRECT($O$5),2,0)*IncrPerc2018*IncrPerc2018v2</f>
        <v>0.35364464763157194</v>
      </c>
      <c r="P17" s="62" t="s">
        <v>103</v>
      </c>
    </row>
    <row r="18" spans="3:16" ht="13.2" customHeight="1" x14ac:dyDescent="0.45">
      <c r="C18" s="67">
        <f ca="1">O18</f>
        <v>0.56291765195312482</v>
      </c>
      <c r="D18" s="5" t="s">
        <v>72</v>
      </c>
      <c r="I18" s="10"/>
      <c r="J18" s="11"/>
      <c r="K18" s="11"/>
      <c r="L18" s="12"/>
      <c r="M18" s="12"/>
      <c r="N18" s="49" t="s">
        <v>73</v>
      </c>
      <c r="O18" s="48">
        <f ca="1">VLOOKUP(N18,INDIRECT($O$5),2,0)*IncrPerc2018*IncrPerc2018v2</f>
        <v>0.56291765195312482</v>
      </c>
      <c r="P18" s="62" t="s">
        <v>104</v>
      </c>
    </row>
    <row r="19" spans="3:16" ht="13.2" customHeight="1" x14ac:dyDescent="0.45">
      <c r="C19" s="67">
        <f ca="1">O19</f>
        <v>0.84437647792968729</v>
      </c>
      <c r="D19" s="5" t="s">
        <v>74</v>
      </c>
      <c r="I19" s="10"/>
      <c r="J19" s="11"/>
      <c r="K19" s="11"/>
      <c r="L19" s="12"/>
      <c r="M19" s="12"/>
      <c r="N19" s="49" t="s">
        <v>75</v>
      </c>
      <c r="O19" s="48">
        <f ca="1">VLOOKUP(N19,INDIRECT($O$5),2,0)*IncrPerc2018*IncrPerc2018v2</f>
        <v>0.84437647792968729</v>
      </c>
      <c r="P19" s="62" t="s">
        <v>105</v>
      </c>
    </row>
    <row r="20" spans="3:16" ht="13.2" customHeight="1" x14ac:dyDescent="0.45"/>
    <row r="21" spans="3:16" ht="13.2" customHeight="1" x14ac:dyDescent="0.45">
      <c r="C21" s="1" t="s">
        <v>76</v>
      </c>
    </row>
    <row r="22" spans="3:16" ht="13.2" customHeight="1" x14ac:dyDescent="0.45">
      <c r="C22" s="46" t="str">
        <f ca="1">"Provided that a night shift differential of "&amp;TEXT(O22,"$#.000")&amp;" per hour for each hour, or fraction thereof, they"</f>
        <v>Provided that a night shift differential of $2.071 per hour for each hour, or fraction thereof, they</v>
      </c>
      <c r="G22" s="33"/>
      <c r="H22" s="19"/>
      <c r="N22" s="47" t="s">
        <v>79</v>
      </c>
      <c r="O22" s="48">
        <f ca="1">VLOOKUP(N22,INDIRECT($O$5),2,0)*IncrPerc2018*IncrPerc2018v2</f>
        <v>2.0713762212499995</v>
      </c>
      <c r="P22" s="62" t="s">
        <v>106</v>
      </c>
    </row>
    <row r="23" spans="3:16" ht="13.2" customHeight="1" x14ac:dyDescent="0.45">
      <c r="C23" s="46" t="s">
        <v>80</v>
      </c>
      <c r="N23" s="47" t="s">
        <v>81</v>
      </c>
      <c r="O23" s="61">
        <f ca="1">O22</f>
        <v>2.0713762212499995</v>
      </c>
      <c r="P23" s="62" t="s">
        <v>107</v>
      </c>
    </row>
    <row r="24" spans="3:16" ht="13.2" customHeight="1" x14ac:dyDescent="0.45">
      <c r="C24" s="46" t="s">
        <v>82</v>
      </c>
    </row>
    <row r="25" spans="3:16" ht="13.2" customHeight="1" x14ac:dyDescent="0.45">
      <c r="C25" s="46"/>
    </row>
    <row r="26" spans="3:16" ht="13.2" customHeight="1" x14ac:dyDescent="0.45">
      <c r="C26" s="46" t="str">
        <f ca="1">"Provided that a weekend shift differential of "&amp;TEXT(O26,"$#.000")&amp;" per hour shall be paid to employees who work"</f>
        <v>Provided that a weekend shift differential of $1.405 per hour shall be paid to employees who work</v>
      </c>
      <c r="G26" s="35"/>
      <c r="H26" s="19"/>
      <c r="N26" s="47" t="s">
        <v>85</v>
      </c>
      <c r="O26" s="48">
        <f ca="1">VLOOKUP(N26,INDIRECT($O$5),2,0)*IncrPerc2018*IncrPerc2018v2</f>
        <v>1.4045062499999998</v>
      </c>
      <c r="P26" s="62" t="s">
        <v>108</v>
      </c>
    </row>
    <row r="27" spans="3:16" ht="13.2" customHeight="1" x14ac:dyDescent="0.45">
      <c r="C27" s="46" t="s">
        <v>86</v>
      </c>
    </row>
    <row r="28" spans="3:16" ht="13.2" customHeight="1" x14ac:dyDescent="0.45">
      <c r="F28" s="19"/>
    </row>
    <row r="29" spans="3:16" s="12" customFormat="1" x14ac:dyDescent="0.45">
      <c r="C29" s="12" t="s">
        <v>109</v>
      </c>
      <c r="N29" s="49" t="s">
        <v>87</v>
      </c>
      <c r="O29" s="61">
        <f>ROUND(VLOOKUP(N29,RatesMarch2019,2,0),3)</f>
        <v>35</v>
      </c>
      <c r="P29" s="62" t="s">
        <v>110</v>
      </c>
    </row>
    <row r="30" spans="3:16" s="12" customFormat="1" x14ac:dyDescent="0.45">
      <c r="C30" s="68" t="s">
        <v>111</v>
      </c>
      <c r="N30" s="49" t="s">
        <v>88</v>
      </c>
      <c r="O30" s="61">
        <f>ROUND(VLOOKUP(N30,RatesMarch2019,2,0),3)</f>
        <v>45</v>
      </c>
      <c r="P30" s="62" t="s">
        <v>112</v>
      </c>
    </row>
    <row r="31" spans="3:16" s="3" customFormat="1" x14ac:dyDescent="0.45">
      <c r="C31" s="68" t="s">
        <v>113</v>
      </c>
      <c r="N31" s="49"/>
      <c r="O31" s="59"/>
      <c r="P31" s="53"/>
    </row>
    <row r="32" spans="3:16" s="3" customFormat="1" x14ac:dyDescent="0.45">
      <c r="C32" s="68" t="s">
        <v>114</v>
      </c>
      <c r="N32" s="49"/>
      <c r="O32" s="59"/>
      <c r="P32" s="53"/>
    </row>
    <row r="33" spans="2:16" s="3" customFormat="1" x14ac:dyDescent="0.45">
      <c r="C33" s="68" t="s">
        <v>115</v>
      </c>
      <c r="N33" s="49"/>
      <c r="O33" s="59"/>
      <c r="P33" s="53"/>
    </row>
    <row r="34" spans="2:16" s="3" customFormat="1" x14ac:dyDescent="0.45">
      <c r="N34" s="49"/>
      <c r="O34" s="59"/>
      <c r="P34" s="53"/>
    </row>
    <row r="35" spans="2:16" s="3" customFormat="1" x14ac:dyDescent="0.45">
      <c r="N35" s="49"/>
      <c r="O35" s="59"/>
      <c r="P35" s="53"/>
    </row>
    <row r="36" spans="2:16" s="3" customFormat="1" x14ac:dyDescent="0.45">
      <c r="N36" s="49"/>
      <c r="O36" s="59"/>
      <c r="P36" s="53"/>
    </row>
    <row r="37" spans="2:16" s="3" customFormat="1" x14ac:dyDescent="0.45">
      <c r="N37" s="49"/>
      <c r="O37" s="59"/>
      <c r="P37" s="53"/>
    </row>
    <row r="38" spans="2:16" s="3" customFormat="1" x14ac:dyDescent="0.45">
      <c r="N38" s="49"/>
      <c r="O38" s="59"/>
      <c r="P38" s="53"/>
    </row>
    <row r="39" spans="2:16" s="3" customFormat="1" x14ac:dyDescent="0.45">
      <c r="N39" s="49"/>
      <c r="O39" s="59"/>
      <c r="P39" s="53"/>
    </row>
    <row r="40" spans="2:16" s="3" customFormat="1" x14ac:dyDescent="0.45">
      <c r="N40" s="49"/>
      <c r="O40" s="59"/>
      <c r="P40" s="53"/>
    </row>
    <row r="41" spans="2:16" s="3" customFormat="1" x14ac:dyDescent="0.45">
      <c r="N41" s="49"/>
      <c r="O41" s="59"/>
      <c r="P41" s="53"/>
    </row>
    <row r="42" spans="2:16" s="3" customFormat="1" x14ac:dyDescent="0.45">
      <c r="B42" s="29"/>
      <c r="C42" s="14"/>
      <c r="D42" s="14"/>
      <c r="E42" s="15"/>
      <c r="F42" s="14"/>
      <c r="G42" s="14"/>
      <c r="H42" s="14"/>
      <c r="I42" s="14"/>
      <c r="J42" s="14"/>
      <c r="K42" s="14"/>
      <c r="L42" s="14"/>
      <c r="M42" s="14"/>
      <c r="N42" s="56"/>
      <c r="O42" s="59"/>
      <c r="P42" s="53"/>
    </row>
    <row r="43" spans="2:16" s="3" customFormat="1" x14ac:dyDescent="0.4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56"/>
      <c r="O43" s="59"/>
      <c r="P43" s="53"/>
    </row>
    <row r="44" spans="2:16" s="17" customFormat="1" x14ac:dyDescent="0.45">
      <c r="B44" s="14"/>
      <c r="C44" s="14"/>
      <c r="D44" s="14"/>
      <c r="E44" s="14"/>
      <c r="F44" s="14"/>
      <c r="G44" s="14"/>
      <c r="H44" s="14"/>
      <c r="I44" s="14"/>
      <c r="J44" s="16"/>
      <c r="K44" s="14"/>
      <c r="L44" s="14"/>
      <c r="M44" s="14"/>
      <c r="N44" s="56"/>
      <c r="O44" s="59"/>
      <c r="P44" s="49"/>
    </row>
    <row r="45" spans="2:16" s="3" customFormat="1" x14ac:dyDescent="0.45">
      <c r="B45" s="17"/>
      <c r="C45" s="17"/>
      <c r="D45" s="17"/>
      <c r="G45" s="17"/>
      <c r="H45" s="17"/>
      <c r="J45" s="16"/>
      <c r="K45" s="16"/>
      <c r="L45" s="16"/>
      <c r="N45" s="49"/>
      <c r="O45" s="59"/>
      <c r="P45" s="53"/>
    </row>
    <row r="46" spans="2:16" s="3" customFormat="1" x14ac:dyDescent="0.45">
      <c r="N46" s="49"/>
      <c r="O46" s="59"/>
      <c r="P46" s="53"/>
    </row>
    <row r="47" spans="2:16" s="3" customFormat="1" x14ac:dyDescent="0.45">
      <c r="N47" s="49"/>
      <c r="O47" s="59"/>
      <c r="P47" s="53"/>
    </row>
  </sheetData>
  <customSheetViews>
    <customSheetView guid="{1FE68E9A-AB75-4E2C-B18B-F89E0A523960}" scale="150" showGridLines="0" fitToPage="1" topLeftCell="C1">
      <selection activeCell="O4" sqref="O4"/>
      <pageMargins left="0" right="0" top="0" bottom="0" header="0" footer="0"/>
      <pageSetup scale="96" fitToHeight="2" orientation="landscape" horizontalDpi="300" r:id="rId1"/>
      <headerFooter alignWithMargins="0"/>
    </customSheetView>
  </customSheetViews>
  <dataValidations count="1">
    <dataValidation type="list" allowBlank="1" showInputMessage="1" showErrorMessage="1" sqref="O5" xr:uid="{6F29F08F-2D86-423E-88EA-F343CCB3FE2A}">
      <formula1>Schedules</formula1>
    </dataValidation>
  </dataValidations>
  <pageMargins left="0" right="0" top="1" bottom="0.5" header="0.5" footer="0.5"/>
  <pageSetup scale="96" fitToHeight="2" orientation="landscape" horizont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FCC6-3C88-4CB7-89F9-05D6965158DA}">
  <sheetPr>
    <pageSetUpPr fitToPage="1"/>
  </sheetPr>
  <dimension ref="B1:P48"/>
  <sheetViews>
    <sheetView showGridLines="0" zoomScaleNormal="100" workbookViewId="0">
      <selection activeCell="R20" sqref="R20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7.5859375" style="21" customWidth="1"/>
    <col min="4" max="5" width="8.29296875" style="21" customWidth="1"/>
    <col min="6" max="6" width="36.29296875" style="21" customWidth="1"/>
    <col min="7" max="7" width="7.29296875" style="25" customWidth="1"/>
    <col min="8" max="8" width="3.41015625" style="25" customWidth="1"/>
    <col min="9" max="9" width="2.87890625" style="25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8.87890625" style="47" bestFit="1" customWidth="1"/>
    <col min="15" max="15" width="9.29296875" style="48" bestFit="1" customWidth="1"/>
    <col min="16" max="16" width="51.41015625" style="62" bestFit="1" customWidth="1"/>
    <col min="17" max="16384" width="11.41015625" style="21"/>
  </cols>
  <sheetData>
    <row r="1" spans="2:16" x14ac:dyDescent="0.45">
      <c r="B1" s="72" t="s">
        <v>89</v>
      </c>
    </row>
    <row r="2" spans="2:16" ht="13.2" customHeight="1" x14ac:dyDescent="0.45">
      <c r="B2" s="19" t="s">
        <v>116</v>
      </c>
      <c r="C2" s="18"/>
      <c r="D2" s="18"/>
      <c r="E2" s="18"/>
      <c r="F2" s="19"/>
      <c r="G2" s="18"/>
      <c r="H2" s="18"/>
      <c r="I2" s="18"/>
      <c r="J2" s="20"/>
      <c r="K2" s="20"/>
      <c r="L2" s="20"/>
      <c r="M2" s="20"/>
      <c r="N2" s="64" t="s">
        <v>117</v>
      </c>
      <c r="O2" s="74">
        <v>1.0149999999999999</v>
      </c>
      <c r="P2" s="62" t="s">
        <v>118</v>
      </c>
    </row>
    <row r="3" spans="2:16" ht="13.2" customHeight="1" x14ac:dyDescent="0.45">
      <c r="B3" s="19"/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64" t="s">
        <v>119</v>
      </c>
      <c r="O3" s="74">
        <v>1</v>
      </c>
      <c r="P3" s="62" t="s">
        <v>120</v>
      </c>
    </row>
    <row r="4" spans="2:16" ht="13.2" customHeight="1" x14ac:dyDescent="0.45">
      <c r="B4" s="22"/>
      <c r="C4" s="18"/>
      <c r="D4" s="18"/>
      <c r="E4" s="18"/>
      <c r="F4" s="19"/>
      <c r="G4" s="18"/>
      <c r="H4" s="18"/>
      <c r="I4" s="18"/>
      <c r="J4" s="18" t="s">
        <v>42</v>
      </c>
      <c r="K4" s="20"/>
      <c r="L4" s="20"/>
      <c r="M4" s="20"/>
      <c r="N4" s="47" t="s">
        <v>95</v>
      </c>
      <c r="O4" s="74">
        <f>IncrPercMarch2019*IncrPercMarch2019v2</f>
        <v>1.0149999999999999</v>
      </c>
    </row>
    <row r="5" spans="2:16" ht="13.2" customHeight="1" x14ac:dyDescent="0.45">
      <c r="B5" s="18" t="s">
        <v>43</v>
      </c>
      <c r="C5" s="18" t="s">
        <v>44</v>
      </c>
      <c r="D5" s="18" t="s">
        <v>96</v>
      </c>
      <c r="E5" s="18" t="s">
        <v>45</v>
      </c>
      <c r="F5" s="19" t="s">
        <v>46</v>
      </c>
      <c r="G5" s="23" t="s">
        <v>47</v>
      </c>
      <c r="H5" s="18" t="s">
        <v>48</v>
      </c>
      <c r="I5" s="18" t="s">
        <v>49</v>
      </c>
      <c r="J5" s="18" t="s">
        <v>50</v>
      </c>
      <c r="K5" s="20"/>
      <c r="L5" s="20"/>
      <c r="M5" s="20"/>
      <c r="N5" s="64" t="s">
        <v>97</v>
      </c>
      <c r="O5" s="47" t="s">
        <v>121</v>
      </c>
      <c r="P5" s="76" t="s">
        <v>122</v>
      </c>
    </row>
    <row r="6" spans="2:16" ht="13.2" customHeight="1" x14ac:dyDescent="0.45">
      <c r="G6" s="24"/>
      <c r="J6" s="25"/>
    </row>
    <row r="7" spans="2:16" ht="13.2" customHeight="1" x14ac:dyDescent="0.45">
      <c r="B7" s="25" t="s">
        <v>51</v>
      </c>
      <c r="C7" s="25">
        <v>2</v>
      </c>
      <c r="D7" s="42" t="s">
        <v>52</v>
      </c>
      <c r="E7" s="25" t="s">
        <v>53</v>
      </c>
      <c r="F7" s="22" t="s">
        <v>54</v>
      </c>
      <c r="G7" s="24">
        <v>300</v>
      </c>
      <c r="H7" s="25">
        <v>6</v>
      </c>
      <c r="I7" s="25" t="s">
        <v>55</v>
      </c>
      <c r="J7" s="67">
        <f ca="1">O7</f>
        <v>45.029000000000003</v>
      </c>
      <c r="K7" s="20"/>
      <c r="L7" s="31"/>
      <c r="M7" s="20"/>
      <c r="N7" s="64" t="str">
        <f>E7</f>
        <v>03860C</v>
      </c>
      <c r="O7" s="48">
        <f ca="1">ROUND(VLOOKUP(N7,INDIRECT($O$5),2,0)*IncrPercMarch2019*IncrPercMarch2019v2,3)</f>
        <v>45.029000000000003</v>
      </c>
    </row>
    <row r="8" spans="2:16" ht="13.2" customHeight="1" x14ac:dyDescent="0.45">
      <c r="B8" s="25" t="s">
        <v>51</v>
      </c>
      <c r="C8" s="25">
        <v>2</v>
      </c>
      <c r="D8" s="42" t="s">
        <v>56</v>
      </c>
      <c r="E8" s="25" t="s">
        <v>57</v>
      </c>
      <c r="F8" s="22" t="s">
        <v>58</v>
      </c>
      <c r="G8" s="24">
        <v>363</v>
      </c>
      <c r="H8" s="25">
        <v>8</v>
      </c>
      <c r="I8" s="25" t="s">
        <v>55</v>
      </c>
      <c r="J8" s="67">
        <f t="shared" ref="J8:J9" ca="1" si="0">O8</f>
        <v>47.767000000000003</v>
      </c>
      <c r="K8" s="20"/>
      <c r="L8" s="31"/>
      <c r="M8" s="20"/>
      <c r="N8" s="64" t="str">
        <f t="shared" ref="N8:N10" si="1">E8</f>
        <v>04600C</v>
      </c>
      <c r="O8" s="48">
        <f ca="1">ROUND(VLOOKUP(N8,INDIRECT($O$5),2,0)*IncrPercMarch2019*IncrPercMarch2019v2,3)</f>
        <v>47.767000000000003</v>
      </c>
    </row>
    <row r="9" spans="2:16" ht="13.2" customHeight="1" x14ac:dyDescent="0.45">
      <c r="B9" s="25" t="s">
        <v>51</v>
      </c>
      <c r="C9" s="25">
        <v>2</v>
      </c>
      <c r="D9" s="42" t="s">
        <v>59</v>
      </c>
      <c r="E9" s="25" t="s">
        <v>60</v>
      </c>
      <c r="F9" s="22" t="s">
        <v>61</v>
      </c>
      <c r="G9" s="24">
        <v>363</v>
      </c>
      <c r="H9" s="25">
        <v>8</v>
      </c>
      <c r="I9" s="25" t="s">
        <v>55</v>
      </c>
      <c r="J9" s="67">
        <f t="shared" ca="1" si="0"/>
        <v>49.134999999999998</v>
      </c>
      <c r="K9" s="20"/>
      <c r="L9" s="31"/>
      <c r="M9" s="20"/>
      <c r="N9" s="64" t="str">
        <f t="shared" si="1"/>
        <v>04605C</v>
      </c>
      <c r="O9" s="48">
        <f ca="1">ROUND(VLOOKUP(N9,INDIRECT($O$5),2,0)*IncrPercMarch2019*IncrPercMarch2019v2,3)</f>
        <v>49.134999999999998</v>
      </c>
    </row>
    <row r="10" spans="2:16" ht="13.2" customHeight="1" x14ac:dyDescent="0.45">
      <c r="B10" s="25" t="s">
        <v>51</v>
      </c>
      <c r="C10" s="25">
        <v>2</v>
      </c>
      <c r="D10" s="42" t="s">
        <v>62</v>
      </c>
      <c r="E10" s="25" t="s">
        <v>63</v>
      </c>
      <c r="F10" s="22" t="s">
        <v>64</v>
      </c>
      <c r="G10" s="24">
        <v>475</v>
      </c>
      <c r="H10" s="25">
        <v>10</v>
      </c>
      <c r="I10" s="25" t="s">
        <v>55</v>
      </c>
      <c r="J10" s="67">
        <f ca="1">O10</f>
        <v>50.503999999999998</v>
      </c>
      <c r="K10" s="20"/>
      <c r="L10" s="31"/>
      <c r="M10" s="20"/>
      <c r="N10" s="64" t="str">
        <f t="shared" si="1"/>
        <v>05140C</v>
      </c>
      <c r="O10" s="48">
        <f ca="1">ROUND(VLOOKUP(N10,INDIRECT($O$5),2,0)*IncrPercMarch2019*IncrPercMarch2019v2,3)</f>
        <v>50.503999999999998</v>
      </c>
    </row>
    <row r="11" spans="2:16" ht="13.2" customHeight="1" x14ac:dyDescent="0.45">
      <c r="B11" s="25" t="s">
        <v>51</v>
      </c>
      <c r="C11" s="25">
        <v>2</v>
      </c>
      <c r="D11" s="42" t="s">
        <v>62</v>
      </c>
      <c r="E11" s="25" t="s">
        <v>99</v>
      </c>
      <c r="F11" s="22" t="s">
        <v>100</v>
      </c>
      <c r="G11" s="24"/>
      <c r="H11" s="25">
        <v>10</v>
      </c>
      <c r="I11" s="25" t="s">
        <v>55</v>
      </c>
      <c r="J11" s="67">
        <f ca="1">O11</f>
        <v>50.503999999999998</v>
      </c>
      <c r="K11" s="20"/>
      <c r="L11" s="20"/>
      <c r="M11" s="20"/>
      <c r="N11" s="50" t="s">
        <v>99</v>
      </c>
      <c r="O11" s="48">
        <f ca="1">ROUND(VLOOKUP(N11,INDIRECT($O$5),2,0)*IncrPercMarch2019*IncrPercMarch2019v2,3)</f>
        <v>50.503999999999998</v>
      </c>
    </row>
    <row r="12" spans="2:16" ht="13.2" customHeight="1" x14ac:dyDescent="0.45">
      <c r="B12" s="25"/>
      <c r="C12" s="25"/>
      <c r="D12" s="42"/>
      <c r="E12" s="25"/>
      <c r="F12" s="22"/>
      <c r="G12" s="24"/>
      <c r="J12" s="67"/>
      <c r="K12" s="20"/>
      <c r="L12" s="31"/>
      <c r="M12" s="20"/>
      <c r="N12" s="64"/>
    </row>
    <row r="13" spans="2:16" ht="13.2" customHeight="1" x14ac:dyDescent="0.45">
      <c r="B13" s="18"/>
      <c r="C13" s="18"/>
      <c r="D13" s="32"/>
      <c r="E13" s="18"/>
      <c r="F13" s="22" t="s">
        <v>101</v>
      </c>
      <c r="G13" s="23"/>
      <c r="H13" s="18"/>
      <c r="I13" s="18"/>
      <c r="J13" s="30"/>
      <c r="K13" s="20"/>
      <c r="L13" s="31"/>
      <c r="M13" s="20"/>
      <c r="N13" s="64"/>
    </row>
    <row r="14" spans="2:16" ht="13.2" customHeight="1" x14ac:dyDescent="0.45">
      <c r="B14" s="19"/>
      <c r="C14" s="18"/>
      <c r="D14" s="18"/>
      <c r="E14" s="18"/>
      <c r="F14" s="19"/>
      <c r="G14" s="18"/>
      <c r="H14" s="18"/>
      <c r="I14" s="18"/>
      <c r="J14" s="20"/>
      <c r="K14" s="20"/>
      <c r="L14" s="20"/>
      <c r="M14" s="20"/>
      <c r="N14" s="50"/>
      <c r="O14" s="57"/>
    </row>
    <row r="15" spans="2:16" ht="13.2" customHeight="1" x14ac:dyDescent="0.45">
      <c r="C15" s="1" t="s">
        <v>66</v>
      </c>
      <c r="F15" s="2"/>
      <c r="H15" s="2"/>
      <c r="I15" s="2"/>
      <c r="J15" s="2"/>
      <c r="K15" s="3"/>
      <c r="L15" s="3"/>
      <c r="M15" s="3"/>
      <c r="N15" s="49"/>
      <c r="O15" s="60"/>
    </row>
    <row r="16" spans="2:16" ht="13.2" customHeight="1" x14ac:dyDescent="0.45">
      <c r="C16" s="8" t="s">
        <v>67</v>
      </c>
      <c r="G16" s="5"/>
      <c r="H16" s="6"/>
      <c r="I16" s="6"/>
      <c r="J16" s="7"/>
      <c r="K16" s="7"/>
      <c r="L16" s="3"/>
      <c r="M16" s="3"/>
      <c r="N16" s="49"/>
      <c r="O16" s="60"/>
    </row>
    <row r="17" spans="3:16" ht="13.2" customHeight="1" x14ac:dyDescent="0.45">
      <c r="C17" s="67">
        <f ca="1">O17</f>
        <v>0.26</v>
      </c>
      <c r="D17" s="5" t="s">
        <v>68</v>
      </c>
      <c r="I17" s="10"/>
      <c r="J17" s="11"/>
      <c r="K17" s="11"/>
      <c r="L17" s="12"/>
      <c r="M17" s="12"/>
      <c r="N17" s="49" t="s">
        <v>69</v>
      </c>
      <c r="O17" s="48">
        <f ca="1">ROUND(VLOOKUP(N17,INDIRECT($O$5),2,0)*IncrPercMarch2019*IncrPercMarch2019v2,3)</f>
        <v>0.26</v>
      </c>
      <c r="P17" s="62" t="s">
        <v>102</v>
      </c>
    </row>
    <row r="18" spans="3:16" ht="13.2" customHeight="1" x14ac:dyDescent="0.45">
      <c r="C18" s="67">
        <f ca="1">O18</f>
        <v>0.35899999999999999</v>
      </c>
      <c r="D18" s="5" t="s">
        <v>70</v>
      </c>
      <c r="I18" s="10"/>
      <c r="J18" s="11"/>
      <c r="K18" s="11"/>
      <c r="L18" s="12"/>
      <c r="M18" s="12"/>
      <c r="N18" s="49" t="s">
        <v>71</v>
      </c>
      <c r="O18" s="48">
        <f ca="1">ROUND(VLOOKUP(N18,INDIRECT($O$5),2,0)*IncrPercMarch2019*IncrPercMarch2019v2,3)</f>
        <v>0.35899999999999999</v>
      </c>
      <c r="P18" s="62" t="s">
        <v>103</v>
      </c>
    </row>
    <row r="19" spans="3:16" ht="13.2" customHeight="1" x14ac:dyDescent="0.45">
      <c r="C19" s="67">
        <f ca="1">O19</f>
        <v>0.57099999999999995</v>
      </c>
      <c r="D19" s="5" t="s">
        <v>72</v>
      </c>
      <c r="I19" s="10"/>
      <c r="J19" s="11"/>
      <c r="K19" s="11"/>
      <c r="L19" s="12"/>
      <c r="M19" s="12"/>
      <c r="N19" s="49" t="s">
        <v>73</v>
      </c>
      <c r="O19" s="48">
        <f ca="1">ROUND(VLOOKUP(N19,INDIRECT($O$5),2,0)*IncrPercMarch2019*IncrPercMarch2019v2,3)</f>
        <v>0.57099999999999995</v>
      </c>
      <c r="P19" s="62" t="s">
        <v>104</v>
      </c>
    </row>
    <row r="20" spans="3:16" ht="13.2" customHeight="1" x14ac:dyDescent="0.45">
      <c r="C20" s="67">
        <f ca="1">O20</f>
        <v>0.85699999999999998</v>
      </c>
      <c r="D20" s="5" t="s">
        <v>74</v>
      </c>
      <c r="I20" s="10"/>
      <c r="J20" s="11"/>
      <c r="K20" s="11"/>
      <c r="L20" s="12"/>
      <c r="M20" s="12"/>
      <c r="N20" s="49" t="s">
        <v>75</v>
      </c>
      <c r="O20" s="48">
        <f ca="1">ROUND(VLOOKUP(N20,INDIRECT($O$5),2,0)*IncrPercMarch2019*IncrPercMarch2019v2,3)</f>
        <v>0.85699999999999998</v>
      </c>
      <c r="P20" s="62" t="s">
        <v>105</v>
      </c>
    </row>
    <row r="21" spans="3:16" ht="13.2" customHeight="1" x14ac:dyDescent="0.45"/>
    <row r="22" spans="3:16" ht="13.2" customHeight="1" x14ac:dyDescent="0.45">
      <c r="C22" s="1" t="s">
        <v>76</v>
      </c>
    </row>
    <row r="23" spans="3:16" ht="13.2" customHeight="1" x14ac:dyDescent="0.45">
      <c r="C23" s="46" t="str">
        <f ca="1">"Provided that a night shift differential of "&amp;TEXT(O23,"$#.000")&amp;" per hour for each hour, or fraction thereof, they"</f>
        <v>Provided that a night shift differential of $2.102 per hour for each hour, or fraction thereof, they</v>
      </c>
      <c r="G23" s="33"/>
      <c r="H23" s="19"/>
      <c r="N23" s="47" t="s">
        <v>79</v>
      </c>
      <c r="O23" s="48">
        <f ca="1">ROUND(VLOOKUP(N23,INDIRECT($O$5),2,0)*IncrPercMarch2019*IncrPercMarch2019v2,3)</f>
        <v>2.1019999999999999</v>
      </c>
      <c r="P23" s="62" t="s">
        <v>106</v>
      </c>
    </row>
    <row r="24" spans="3:16" ht="13.2" customHeight="1" x14ac:dyDescent="0.45">
      <c r="C24" s="46" t="s">
        <v>80</v>
      </c>
      <c r="N24" s="47" t="s">
        <v>81</v>
      </c>
      <c r="O24" s="61">
        <f ca="1">O23</f>
        <v>2.1019999999999999</v>
      </c>
      <c r="P24" s="62" t="s">
        <v>107</v>
      </c>
    </row>
    <row r="25" spans="3:16" ht="13.2" customHeight="1" x14ac:dyDescent="0.45">
      <c r="C25" s="46" t="s">
        <v>82</v>
      </c>
    </row>
    <row r="26" spans="3:16" ht="13.2" customHeight="1" x14ac:dyDescent="0.45">
      <c r="C26" s="46"/>
    </row>
    <row r="27" spans="3:16" ht="13.2" customHeight="1" x14ac:dyDescent="0.45">
      <c r="C27" s="46" t="str">
        <f ca="1">"Provided that a weekend shift differential of "&amp;TEXT(O27,"$#.000")&amp;" per hour shall be paid to employees who work"</f>
        <v>Provided that a weekend shift differential of $1.426 per hour shall be paid to employees who work</v>
      </c>
      <c r="G27" s="35"/>
      <c r="H27" s="19"/>
      <c r="N27" s="47" t="s">
        <v>85</v>
      </c>
      <c r="O27" s="48">
        <f ca="1">ROUND(VLOOKUP(N27,INDIRECT($O$5),2,0)*IncrPercMarch2019*IncrPercMarch2019v2,3)</f>
        <v>1.4259999999999999</v>
      </c>
      <c r="P27" s="62" t="s">
        <v>108</v>
      </c>
    </row>
    <row r="28" spans="3:16" ht="13.2" customHeight="1" x14ac:dyDescent="0.45">
      <c r="C28" s="46" t="s">
        <v>86</v>
      </c>
    </row>
    <row r="29" spans="3:16" ht="13.2" customHeight="1" x14ac:dyDescent="0.45">
      <c r="F29" s="19"/>
    </row>
    <row r="30" spans="3:16" s="12" customFormat="1" x14ac:dyDescent="0.45">
      <c r="N30" s="49" t="s">
        <v>87</v>
      </c>
      <c r="O30" s="61">
        <f>ROUND(VLOOKUP(N30,Rates2017,2,0),3)</f>
        <v>35</v>
      </c>
      <c r="P30" s="62" t="s">
        <v>110</v>
      </c>
    </row>
    <row r="31" spans="3:16" s="12" customFormat="1" x14ac:dyDescent="0.45">
      <c r="N31" s="49" t="s">
        <v>88</v>
      </c>
      <c r="O31" s="61">
        <f>ROUND(VLOOKUP(N31,Rates2017,2,0),3)</f>
        <v>45</v>
      </c>
      <c r="P31" s="62" t="s">
        <v>112</v>
      </c>
    </row>
    <row r="32" spans="3:16" s="3" customFormat="1" x14ac:dyDescent="0.45">
      <c r="N32" s="49"/>
      <c r="O32" s="59"/>
      <c r="P32" s="53"/>
    </row>
    <row r="33" spans="2:16" s="3" customFormat="1" x14ac:dyDescent="0.45">
      <c r="N33" s="49"/>
      <c r="O33" s="59"/>
      <c r="P33" s="53"/>
    </row>
    <row r="34" spans="2:16" s="3" customFormat="1" x14ac:dyDescent="0.45">
      <c r="N34" s="49"/>
      <c r="O34" s="59"/>
      <c r="P34" s="53"/>
    </row>
    <row r="35" spans="2:16" s="3" customFormat="1" x14ac:dyDescent="0.45">
      <c r="N35" s="49"/>
      <c r="O35" s="59"/>
      <c r="P35" s="53"/>
    </row>
    <row r="36" spans="2:16" s="3" customFormat="1" x14ac:dyDescent="0.45">
      <c r="N36" s="49"/>
      <c r="O36" s="59"/>
      <c r="P36" s="53"/>
    </row>
    <row r="37" spans="2:16" s="3" customFormat="1" x14ac:dyDescent="0.45">
      <c r="N37" s="49"/>
      <c r="O37" s="59"/>
      <c r="P37" s="53"/>
    </row>
    <row r="38" spans="2:16" s="3" customFormat="1" x14ac:dyDescent="0.45">
      <c r="N38" s="49"/>
      <c r="O38" s="59"/>
      <c r="P38" s="53"/>
    </row>
    <row r="39" spans="2:16" s="3" customFormat="1" x14ac:dyDescent="0.45">
      <c r="N39" s="49"/>
      <c r="O39" s="59"/>
      <c r="P39" s="53"/>
    </row>
    <row r="40" spans="2:16" s="3" customFormat="1" x14ac:dyDescent="0.45">
      <c r="N40" s="49"/>
      <c r="O40" s="59"/>
      <c r="P40" s="53"/>
    </row>
    <row r="41" spans="2:16" s="3" customFormat="1" x14ac:dyDescent="0.45">
      <c r="N41" s="49"/>
      <c r="O41" s="59"/>
      <c r="P41" s="53"/>
    </row>
    <row r="42" spans="2:16" s="3" customFormat="1" x14ac:dyDescent="0.45">
      <c r="N42" s="49"/>
      <c r="O42" s="59"/>
      <c r="P42" s="53"/>
    </row>
    <row r="43" spans="2:16" s="3" customFormat="1" x14ac:dyDescent="0.45">
      <c r="B43" s="29"/>
      <c r="C43" s="14"/>
      <c r="D43" s="14"/>
      <c r="E43" s="15"/>
      <c r="F43" s="14"/>
      <c r="G43" s="14"/>
      <c r="H43" s="14"/>
      <c r="I43" s="14"/>
      <c r="J43" s="14"/>
      <c r="K43" s="14"/>
      <c r="L43" s="14"/>
      <c r="M43" s="14"/>
      <c r="N43" s="56"/>
      <c r="O43" s="59"/>
      <c r="P43" s="53"/>
    </row>
    <row r="44" spans="2:16" s="3" customFormat="1" x14ac:dyDescent="0.4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56"/>
      <c r="O44" s="59"/>
      <c r="P44" s="53"/>
    </row>
    <row r="45" spans="2:16" s="17" customFormat="1" x14ac:dyDescent="0.45">
      <c r="B45" s="14"/>
      <c r="C45" s="14"/>
      <c r="D45" s="14"/>
      <c r="E45" s="14"/>
      <c r="F45" s="14"/>
      <c r="G45" s="14"/>
      <c r="H45" s="14"/>
      <c r="I45" s="14"/>
      <c r="J45" s="16"/>
      <c r="K45" s="14"/>
      <c r="L45" s="14"/>
      <c r="M45" s="14"/>
      <c r="N45" s="56"/>
      <c r="O45" s="59"/>
      <c r="P45" s="49"/>
    </row>
    <row r="46" spans="2:16" s="3" customFormat="1" x14ac:dyDescent="0.45">
      <c r="B46" s="17"/>
      <c r="C46" s="17"/>
      <c r="D46" s="17"/>
      <c r="G46" s="17"/>
      <c r="H46" s="17"/>
      <c r="J46" s="16"/>
      <c r="K46" s="16"/>
      <c r="L46" s="16"/>
      <c r="N46" s="49"/>
      <c r="O46" s="59"/>
      <c r="P46" s="53"/>
    </row>
    <row r="47" spans="2:16" s="3" customFormat="1" x14ac:dyDescent="0.45">
      <c r="N47" s="49"/>
      <c r="O47" s="59"/>
      <c r="P47" s="53"/>
    </row>
    <row r="48" spans="2:16" s="3" customFormat="1" x14ac:dyDescent="0.45">
      <c r="N48" s="49"/>
      <c r="O48" s="59"/>
      <c r="P48" s="53"/>
    </row>
  </sheetData>
  <customSheetViews>
    <customSheetView guid="{1FE68E9A-AB75-4E2C-B18B-F89E0A523960}" scale="150" showGridLines="0" fitToPage="1" topLeftCell="C1">
      <selection activeCell="O5" sqref="O5"/>
      <pageMargins left="0" right="0" top="0" bottom="0" header="0" footer="0"/>
      <pageSetup scale="95" fitToHeight="2" orientation="landscape" horizontalDpi="300" r:id="rId1"/>
      <headerFooter alignWithMargins="0"/>
    </customSheetView>
  </customSheetViews>
  <dataValidations count="1">
    <dataValidation type="list" allowBlank="1" showInputMessage="1" showErrorMessage="1" sqref="O5" xr:uid="{1A83653A-32BB-48AE-9514-F3C5786BEB51}">
      <formula1>Schedules</formula1>
    </dataValidation>
  </dataValidations>
  <pageMargins left="0" right="0" top="1" bottom="0.5" header="0.5" footer="0.5"/>
  <pageSetup scale="95" fitToHeight="2" orientation="landscape" horizont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B480-BC35-4B3B-9C70-43AB387C03B3}">
  <sheetPr>
    <pageSetUpPr fitToPage="1"/>
  </sheetPr>
  <dimension ref="B1:P48"/>
  <sheetViews>
    <sheetView showGridLines="0" zoomScaleNormal="100" workbookViewId="0"/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7.87890625" style="21" customWidth="1"/>
    <col min="4" max="5" width="8.29296875" style="21" customWidth="1"/>
    <col min="6" max="6" width="36.29296875" style="21" customWidth="1"/>
    <col min="7" max="7" width="7.29296875" style="25" customWidth="1"/>
    <col min="8" max="8" width="3.41015625" style="25" customWidth="1"/>
    <col min="9" max="9" width="2.87890625" style="25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7" style="47" hidden="1" customWidth="1"/>
    <col min="15" max="15" width="14.5859375" style="48" hidden="1" customWidth="1"/>
    <col min="16" max="16" width="25.703125" style="62" hidden="1" customWidth="1"/>
    <col min="17" max="16384" width="11.41015625" style="21"/>
  </cols>
  <sheetData>
    <row r="1" spans="2:16" x14ac:dyDescent="0.45">
      <c r="B1" s="72" t="s">
        <v>89</v>
      </c>
      <c r="N1" s="112"/>
      <c r="O1" s="113"/>
      <c r="P1" s="114"/>
    </row>
    <row r="2" spans="2:16" ht="13.2" customHeight="1" x14ac:dyDescent="0.45">
      <c r="B2" s="19" t="s">
        <v>123</v>
      </c>
      <c r="C2" s="18"/>
      <c r="D2" s="18"/>
      <c r="E2" s="18"/>
      <c r="F2" s="19"/>
      <c r="G2" s="18"/>
      <c r="H2" s="18"/>
      <c r="I2" s="18"/>
      <c r="J2" s="20"/>
      <c r="K2" s="20"/>
      <c r="L2" s="20"/>
      <c r="M2" s="20"/>
      <c r="N2" s="115" t="s">
        <v>124</v>
      </c>
      <c r="O2" s="116">
        <v>1</v>
      </c>
      <c r="P2" s="114" t="s">
        <v>118</v>
      </c>
    </row>
    <row r="3" spans="2:16" ht="13.2" customHeight="1" x14ac:dyDescent="0.45">
      <c r="B3" s="19"/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64" t="s">
        <v>125</v>
      </c>
      <c r="O3" s="74">
        <v>1.0249999999999999</v>
      </c>
      <c r="P3" s="62" t="s">
        <v>120</v>
      </c>
    </row>
    <row r="4" spans="2:16" ht="13.2" customHeight="1" x14ac:dyDescent="0.45">
      <c r="B4" s="22"/>
      <c r="C4" s="18"/>
      <c r="D4" s="18"/>
      <c r="E4" s="18"/>
      <c r="F4" s="19"/>
      <c r="G4" s="18"/>
      <c r="H4" s="18"/>
      <c r="I4" s="18"/>
      <c r="J4" s="18" t="s">
        <v>42</v>
      </c>
      <c r="K4" s="20"/>
      <c r="L4" s="20"/>
      <c r="M4" s="20"/>
      <c r="N4" s="112" t="s">
        <v>95</v>
      </c>
      <c r="O4" s="116">
        <f>IncrPercMay2019*IncrPercMay2019v2</f>
        <v>1.0249999999999999</v>
      </c>
    </row>
    <row r="5" spans="2:16" ht="13.2" customHeight="1" x14ac:dyDescent="0.45">
      <c r="B5" s="18" t="s">
        <v>43</v>
      </c>
      <c r="C5" s="18" t="s">
        <v>44</v>
      </c>
      <c r="D5" s="18" t="s">
        <v>96</v>
      </c>
      <c r="E5" s="18" t="s">
        <v>45</v>
      </c>
      <c r="F5" s="19" t="s">
        <v>46</v>
      </c>
      <c r="G5" s="23" t="s">
        <v>47</v>
      </c>
      <c r="H5" s="18" t="s">
        <v>48</v>
      </c>
      <c r="I5" s="18" t="s">
        <v>49</v>
      </c>
      <c r="J5" s="18" t="s">
        <v>50</v>
      </c>
      <c r="K5" s="20"/>
      <c r="L5" s="20"/>
      <c r="M5" s="20"/>
      <c r="N5" s="64" t="s">
        <v>97</v>
      </c>
      <c r="O5" s="62" t="s">
        <v>126</v>
      </c>
    </row>
    <row r="6" spans="2:16" ht="13.2" customHeight="1" x14ac:dyDescent="0.45">
      <c r="G6" s="24"/>
      <c r="J6" s="25"/>
    </row>
    <row r="7" spans="2:16" ht="13.2" customHeight="1" x14ac:dyDescent="0.45">
      <c r="B7" s="25" t="s">
        <v>51</v>
      </c>
      <c r="C7" s="25">
        <v>2</v>
      </c>
      <c r="D7" s="42" t="s">
        <v>52</v>
      </c>
      <c r="E7" s="25" t="s">
        <v>53</v>
      </c>
      <c r="F7" s="22" t="s">
        <v>54</v>
      </c>
      <c r="G7" s="24">
        <v>300</v>
      </c>
      <c r="H7" s="25">
        <v>6</v>
      </c>
      <c r="I7" s="25" t="s">
        <v>55</v>
      </c>
      <c r="J7" s="67">
        <f ca="1">O7</f>
        <v>45.473074205048697</v>
      </c>
      <c r="K7" s="65"/>
      <c r="L7" s="31"/>
      <c r="M7" s="20"/>
      <c r="N7" s="64" t="str">
        <f>E7</f>
        <v>03860C</v>
      </c>
      <c r="O7" s="48">
        <f ca="1">VLOOKUP(N7,INDIRECT($O$5),2,0)*IncrPercMay2019*IncrPercMay2019v2</f>
        <v>45.473074205048697</v>
      </c>
      <c r="P7" s="62" t="str">
        <f>F7</f>
        <v>Electrician</v>
      </c>
    </row>
    <row r="8" spans="2:16" ht="13.2" customHeight="1" x14ac:dyDescent="0.45">
      <c r="B8" s="25" t="s">
        <v>51</v>
      </c>
      <c r="C8" s="25">
        <v>2</v>
      </c>
      <c r="D8" s="42" t="s">
        <v>56</v>
      </c>
      <c r="E8" s="25" t="s">
        <v>57</v>
      </c>
      <c r="F8" s="22" t="s">
        <v>58</v>
      </c>
      <c r="G8" s="24">
        <v>363</v>
      </c>
      <c r="H8" s="25">
        <v>8</v>
      </c>
      <c r="I8" s="25" t="s">
        <v>55</v>
      </c>
      <c r="J8" s="67">
        <f t="shared" ref="J8:J9" ca="1" si="0">O8</f>
        <v>48.237392307059586</v>
      </c>
      <c r="K8" s="65"/>
      <c r="L8" s="31"/>
      <c r="M8" s="20"/>
      <c r="N8" s="64" t="str">
        <f t="shared" ref="N8:N9" si="1">E8</f>
        <v>04600C</v>
      </c>
      <c r="O8" s="48">
        <f ca="1">VLOOKUP(N8,INDIRECT($O$5),2,0)*IncrPercMay2019*IncrPercMay2019v2</f>
        <v>48.237392307059586</v>
      </c>
      <c r="P8" s="62" t="str">
        <f t="shared" ref="P8:P11" si="2">F8</f>
        <v>Foreman, Electrician</v>
      </c>
    </row>
    <row r="9" spans="2:16" ht="13.2" customHeight="1" x14ac:dyDescent="0.45">
      <c r="B9" s="25" t="s">
        <v>51</v>
      </c>
      <c r="C9" s="25">
        <v>2</v>
      </c>
      <c r="D9" s="42" t="s">
        <v>59</v>
      </c>
      <c r="E9" s="25" t="s">
        <v>60</v>
      </c>
      <c r="F9" s="22" t="s">
        <v>61</v>
      </c>
      <c r="G9" s="24">
        <v>363</v>
      </c>
      <c r="H9" s="25">
        <v>8</v>
      </c>
      <c r="I9" s="25" t="s">
        <v>55</v>
      </c>
      <c r="J9" s="67">
        <f t="shared" ca="1" si="0"/>
        <v>49.619551358065046</v>
      </c>
      <c r="K9" s="65"/>
      <c r="L9" s="31"/>
      <c r="M9" s="20"/>
      <c r="N9" s="64" t="str">
        <f t="shared" si="1"/>
        <v>04605C</v>
      </c>
      <c r="O9" s="48">
        <f ca="1">VLOOKUP(N9,INDIRECT($O$5),2,0)*IncrPercMay2019*IncrPercMay2019v2</f>
        <v>49.619551358065046</v>
      </c>
      <c r="P9" s="62" t="str">
        <f t="shared" si="2"/>
        <v xml:space="preserve">Foreman, (Master) Electrician </v>
      </c>
    </row>
    <row r="10" spans="2:16" ht="13.2" customHeight="1" x14ac:dyDescent="0.45">
      <c r="B10" s="25" t="s">
        <v>51</v>
      </c>
      <c r="C10" s="25">
        <v>2</v>
      </c>
      <c r="D10" s="42" t="s">
        <v>62</v>
      </c>
      <c r="E10" s="25" t="s">
        <v>63</v>
      </c>
      <c r="F10" s="22" t="s">
        <v>64</v>
      </c>
      <c r="G10" s="24">
        <v>475</v>
      </c>
      <c r="H10" s="25">
        <v>10</v>
      </c>
      <c r="I10" s="25" t="s">
        <v>55</v>
      </c>
      <c r="J10" s="67">
        <f ca="1">O10</f>
        <v>51.001710409070476</v>
      </c>
      <c r="K10" s="65"/>
      <c r="L10" s="31"/>
      <c r="M10" s="20"/>
      <c r="N10" s="64" t="str">
        <f t="shared" ref="N10" si="3">E10</f>
        <v>05140C</v>
      </c>
      <c r="O10" s="48">
        <f ca="1">VLOOKUP(N10,INDIRECT($O$5),2,0)*IncrPercMay2019*IncrPercMay2019v2</f>
        <v>51.001710409070476</v>
      </c>
      <c r="P10" s="62" t="str">
        <f t="shared" si="2"/>
        <v>*General Foreman, Electrician</v>
      </c>
    </row>
    <row r="11" spans="2:16" ht="13.2" customHeight="1" x14ac:dyDescent="0.45">
      <c r="B11" s="25" t="s">
        <v>51</v>
      </c>
      <c r="C11" s="25">
        <v>2</v>
      </c>
      <c r="D11" s="42" t="s">
        <v>62</v>
      </c>
      <c r="E11" s="25" t="s">
        <v>99</v>
      </c>
      <c r="F11" s="22" t="s">
        <v>100</v>
      </c>
      <c r="G11" s="24"/>
      <c r="H11" s="25">
        <v>10</v>
      </c>
      <c r="I11" s="25" t="s">
        <v>55</v>
      </c>
      <c r="J11" s="67">
        <f ca="1">O11</f>
        <v>51.001710409070476</v>
      </c>
      <c r="K11" s="20"/>
      <c r="L11" s="20"/>
      <c r="M11" s="20"/>
      <c r="N11" s="50" t="s">
        <v>99</v>
      </c>
      <c r="O11" s="48">
        <f ca="1">VLOOKUP(N11,INDIRECT($O$5),2,0)*IncrPercMay2019*IncrPercMay2019v2</f>
        <v>51.001710409070476</v>
      </c>
      <c r="P11" s="62" t="str">
        <f t="shared" si="2"/>
        <v>*Supervisor Water Plant Electrical and Control Systems</v>
      </c>
    </row>
    <row r="12" spans="2:16" ht="13.2" customHeight="1" x14ac:dyDescent="0.45">
      <c r="B12" s="25"/>
      <c r="C12" s="25"/>
      <c r="D12" s="42"/>
      <c r="E12" s="25"/>
      <c r="F12" s="22"/>
      <c r="G12" s="24"/>
      <c r="J12" s="67"/>
      <c r="K12" s="65"/>
      <c r="L12" s="31"/>
      <c r="M12" s="20"/>
      <c r="N12" s="64"/>
    </row>
    <row r="13" spans="2:16" ht="13.2" customHeight="1" x14ac:dyDescent="0.45">
      <c r="B13" s="18"/>
      <c r="C13" s="18"/>
      <c r="D13" s="32"/>
      <c r="E13" s="18"/>
      <c r="F13" s="22" t="s">
        <v>101</v>
      </c>
      <c r="G13" s="23"/>
      <c r="H13" s="18"/>
      <c r="I13" s="18"/>
      <c r="J13" s="30"/>
      <c r="K13" s="65"/>
      <c r="L13" s="31"/>
      <c r="M13" s="20"/>
      <c r="N13" s="64"/>
    </row>
    <row r="14" spans="2:16" ht="13.2" customHeight="1" x14ac:dyDescent="0.45">
      <c r="B14" s="19"/>
      <c r="C14" s="18"/>
      <c r="D14" s="18"/>
      <c r="E14" s="18"/>
      <c r="F14" s="19"/>
      <c r="G14" s="18"/>
      <c r="H14" s="18"/>
      <c r="I14" s="18"/>
      <c r="J14" s="20"/>
      <c r="K14" s="20"/>
      <c r="L14" s="20"/>
      <c r="M14" s="20"/>
      <c r="N14" s="50"/>
      <c r="O14" s="57"/>
    </row>
    <row r="15" spans="2:16" ht="13.2" customHeight="1" x14ac:dyDescent="0.45">
      <c r="C15" s="1" t="s">
        <v>66</v>
      </c>
      <c r="D15" s="2"/>
      <c r="H15" s="2"/>
      <c r="I15" s="2"/>
      <c r="J15" s="2"/>
      <c r="K15" s="3"/>
      <c r="L15" s="3"/>
      <c r="M15" s="3"/>
      <c r="N15" s="49"/>
      <c r="O15" s="60"/>
    </row>
    <row r="16" spans="2:16" ht="13.2" customHeight="1" x14ac:dyDescent="0.45">
      <c r="C16" s="8" t="s">
        <v>67</v>
      </c>
      <c r="G16" s="5"/>
      <c r="H16" s="6"/>
      <c r="I16" s="6"/>
      <c r="J16" s="7"/>
      <c r="K16" s="7"/>
      <c r="L16" s="3"/>
      <c r="M16" s="3"/>
      <c r="N16" s="49"/>
      <c r="O16" s="60"/>
    </row>
    <row r="17" spans="3:16" ht="13.2" customHeight="1" x14ac:dyDescent="0.45">
      <c r="C17" s="67">
        <f ca="1">O17</f>
        <v>0.26200000000000001</v>
      </c>
      <c r="D17" s="5" t="s">
        <v>68</v>
      </c>
      <c r="I17" s="10"/>
      <c r="J17" s="11"/>
      <c r="K17" s="11"/>
      <c r="L17" s="12"/>
      <c r="M17" s="12"/>
      <c r="N17" s="49" t="s">
        <v>69</v>
      </c>
      <c r="O17" s="48">
        <f ca="1">ROUND(VLOOKUP(N17,INDIRECT($O$5),2,0)*IncrPercMay2019*IncrPercMay2019v2,3)</f>
        <v>0.26200000000000001</v>
      </c>
      <c r="P17" s="62" t="s">
        <v>102</v>
      </c>
    </row>
    <row r="18" spans="3:16" ht="13.2" customHeight="1" x14ac:dyDescent="0.45">
      <c r="C18" s="67">
        <f ca="1">O18</f>
        <v>0.36199999999999999</v>
      </c>
      <c r="D18" s="5" t="s">
        <v>70</v>
      </c>
      <c r="I18" s="10"/>
      <c r="J18" s="11"/>
      <c r="K18" s="11"/>
      <c r="L18" s="12"/>
      <c r="M18" s="12"/>
      <c r="N18" s="49" t="s">
        <v>71</v>
      </c>
      <c r="O18" s="48">
        <f ca="1">ROUND(VLOOKUP(N18,INDIRECT($O$5),2,0)*IncrPercMay2019*IncrPercMay2019v2,3)</f>
        <v>0.36199999999999999</v>
      </c>
      <c r="P18" s="62" t="s">
        <v>103</v>
      </c>
    </row>
    <row r="19" spans="3:16" ht="13.2" customHeight="1" x14ac:dyDescent="0.45">
      <c r="C19" s="67">
        <f ca="1">O19</f>
        <v>0.57699999999999996</v>
      </c>
      <c r="D19" s="5" t="s">
        <v>72</v>
      </c>
      <c r="I19" s="10"/>
      <c r="J19" s="11"/>
      <c r="K19" s="11"/>
      <c r="L19" s="12"/>
      <c r="M19" s="12"/>
      <c r="N19" s="49" t="s">
        <v>73</v>
      </c>
      <c r="O19" s="48">
        <f ca="1">ROUND(VLOOKUP(N19,INDIRECT($O$5),2,0)*IncrPercMay2019*IncrPercMay2019v2,3)</f>
        <v>0.57699999999999996</v>
      </c>
      <c r="P19" s="62" t="s">
        <v>104</v>
      </c>
    </row>
    <row r="20" spans="3:16" ht="13.2" customHeight="1" x14ac:dyDescent="0.45">
      <c r="C20" s="67">
        <f ca="1">O20</f>
        <v>0.86499999999999999</v>
      </c>
      <c r="D20" s="5" t="s">
        <v>74</v>
      </c>
      <c r="I20" s="10"/>
      <c r="J20" s="11"/>
      <c r="K20" s="11"/>
      <c r="L20" s="12"/>
      <c r="M20" s="12"/>
      <c r="N20" s="49" t="s">
        <v>75</v>
      </c>
      <c r="O20" s="48">
        <f ca="1">ROUND(VLOOKUP(N20,INDIRECT($O$5),2,0)*IncrPercMay2019*IncrPercMay2019v2,3)</f>
        <v>0.86499999999999999</v>
      </c>
      <c r="P20" s="62" t="s">
        <v>105</v>
      </c>
    </row>
    <row r="21" spans="3:16" ht="13.2" customHeight="1" x14ac:dyDescent="0.45"/>
    <row r="22" spans="3:16" ht="13.2" customHeight="1" x14ac:dyDescent="0.45">
      <c r="C22" s="1" t="s">
        <v>76</v>
      </c>
    </row>
    <row r="23" spans="3:16" ht="13.2" customHeight="1" x14ac:dyDescent="0.45">
      <c r="C23" s="46" t="str">
        <f ca="1">"Provided that a night shift differential of "&amp;TEXT(O23,"$#.000")&amp;" per hour for each hour, or fraction thereof, they"</f>
        <v>Provided that a night shift differential of $2.123 per hour for each hour, or fraction thereof, they</v>
      </c>
      <c r="G23" s="33"/>
      <c r="H23" s="19"/>
      <c r="N23" s="47" t="s">
        <v>79</v>
      </c>
      <c r="O23" s="48">
        <f ca="1">VLOOKUP(N23,INDIRECT($O$5),2,0)*IncrPercMay2019*IncrPercMay2019v2</f>
        <v>2.1231606267812495</v>
      </c>
      <c r="P23" s="62" t="s">
        <v>106</v>
      </c>
    </row>
    <row r="24" spans="3:16" ht="13.2" customHeight="1" x14ac:dyDescent="0.45">
      <c r="C24" s="46" t="s">
        <v>80</v>
      </c>
      <c r="N24" s="47" t="s">
        <v>81</v>
      </c>
      <c r="O24" s="61">
        <f ca="1">O23</f>
        <v>2.1231606267812495</v>
      </c>
      <c r="P24" s="62" t="s">
        <v>107</v>
      </c>
    </row>
    <row r="25" spans="3:16" ht="13.2" customHeight="1" x14ac:dyDescent="0.45">
      <c r="C25" s="46" t="s">
        <v>82</v>
      </c>
    </row>
    <row r="26" spans="3:16" ht="13.2" customHeight="1" x14ac:dyDescent="0.45">
      <c r="C26" s="46"/>
    </row>
    <row r="27" spans="3:16" ht="13.2" customHeight="1" x14ac:dyDescent="0.45">
      <c r="C27" s="46" t="str">
        <f ca="1">"Provided that a weekend shift differential of "&amp;TEXT(O27,"$#.000")&amp;" per hour shall be paid to employees who work"</f>
        <v>Provided that a weekend shift differential of $1.440 per hour shall be paid to employees who work</v>
      </c>
      <c r="G27" s="35"/>
      <c r="H27" s="19"/>
      <c r="N27" s="47" t="s">
        <v>85</v>
      </c>
      <c r="O27" s="48">
        <f ca="1">VLOOKUP(N27,INDIRECT($O$5),2,0)*IncrPercMay2019*IncrPercMay2019v2</f>
        <v>1.4396189062499998</v>
      </c>
      <c r="P27" s="62" t="s">
        <v>108</v>
      </c>
    </row>
    <row r="28" spans="3:16" ht="13.2" customHeight="1" x14ac:dyDescent="0.45">
      <c r="C28" s="46" t="s">
        <v>86</v>
      </c>
    </row>
    <row r="29" spans="3:16" ht="13.2" customHeight="1" x14ac:dyDescent="0.45">
      <c r="F29" s="19"/>
    </row>
    <row r="30" spans="3:16" s="12" customFormat="1" x14ac:dyDescent="0.45">
      <c r="C30" s="12" t="s">
        <v>109</v>
      </c>
      <c r="N30" s="49" t="s">
        <v>87</v>
      </c>
      <c r="O30" s="61">
        <f>ROUND(VLOOKUP(N30,Rates2018,2,0),3)</f>
        <v>35</v>
      </c>
      <c r="P30" s="62" t="s">
        <v>110</v>
      </c>
    </row>
    <row r="31" spans="3:16" s="12" customFormat="1" x14ac:dyDescent="0.45">
      <c r="C31" s="68" t="s">
        <v>111</v>
      </c>
      <c r="N31" s="49" t="s">
        <v>88</v>
      </c>
      <c r="O31" s="61">
        <f>ROUND(VLOOKUP(N31,Rates2018,2,0),3)</f>
        <v>45</v>
      </c>
      <c r="P31" s="62" t="s">
        <v>112</v>
      </c>
    </row>
    <row r="32" spans="3:16" s="3" customFormat="1" x14ac:dyDescent="0.45">
      <c r="C32" s="68" t="s">
        <v>113</v>
      </c>
      <c r="N32" s="49"/>
      <c r="O32" s="59"/>
      <c r="P32" s="53"/>
    </row>
    <row r="33" spans="2:16" s="3" customFormat="1" x14ac:dyDescent="0.45">
      <c r="C33" s="68" t="s">
        <v>114</v>
      </c>
      <c r="N33" s="49"/>
      <c r="O33" s="59"/>
      <c r="P33" s="53"/>
    </row>
    <row r="34" spans="2:16" s="3" customFormat="1" x14ac:dyDescent="0.45">
      <c r="C34" s="68" t="s">
        <v>115</v>
      </c>
      <c r="N34" s="49"/>
      <c r="O34" s="59"/>
      <c r="P34" s="53"/>
    </row>
    <row r="35" spans="2:16" s="3" customFormat="1" x14ac:dyDescent="0.45">
      <c r="N35" s="49"/>
      <c r="O35" s="59"/>
      <c r="P35" s="53"/>
    </row>
    <row r="36" spans="2:16" s="3" customFormat="1" x14ac:dyDescent="0.45">
      <c r="N36" s="49"/>
      <c r="O36" s="59"/>
      <c r="P36" s="53"/>
    </row>
    <row r="37" spans="2:16" s="3" customFormat="1" x14ac:dyDescent="0.45">
      <c r="N37" s="49"/>
      <c r="O37" s="59"/>
      <c r="P37" s="53"/>
    </row>
    <row r="38" spans="2:16" s="3" customFormat="1" x14ac:dyDescent="0.45">
      <c r="N38" s="49"/>
      <c r="O38" s="59"/>
      <c r="P38" s="53"/>
    </row>
    <row r="39" spans="2:16" s="3" customFormat="1" x14ac:dyDescent="0.45">
      <c r="N39" s="49"/>
      <c r="O39" s="59"/>
      <c r="P39" s="53"/>
    </row>
    <row r="40" spans="2:16" s="3" customFormat="1" x14ac:dyDescent="0.45">
      <c r="N40" s="49"/>
      <c r="O40" s="59"/>
      <c r="P40" s="53"/>
    </row>
    <row r="41" spans="2:16" s="3" customFormat="1" x14ac:dyDescent="0.45">
      <c r="N41" s="49"/>
      <c r="O41" s="59"/>
      <c r="P41" s="53"/>
    </row>
    <row r="42" spans="2:16" s="3" customFormat="1" x14ac:dyDescent="0.45">
      <c r="N42" s="49"/>
      <c r="O42" s="59"/>
      <c r="P42" s="53"/>
    </row>
    <row r="43" spans="2:16" s="3" customFormat="1" x14ac:dyDescent="0.45">
      <c r="B43" s="29"/>
      <c r="C43" s="14"/>
      <c r="D43" s="14"/>
      <c r="E43" s="15"/>
      <c r="F43" s="14"/>
      <c r="G43" s="14"/>
      <c r="H43" s="14"/>
      <c r="I43" s="14"/>
      <c r="J43" s="14"/>
      <c r="K43" s="14"/>
      <c r="L43" s="14"/>
      <c r="M43" s="14"/>
      <c r="N43" s="56"/>
      <c r="O43" s="59"/>
      <c r="P43" s="53"/>
    </row>
    <row r="44" spans="2:16" s="3" customFormat="1" x14ac:dyDescent="0.4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56"/>
      <c r="O44" s="59"/>
      <c r="P44" s="53"/>
    </row>
    <row r="45" spans="2:16" s="17" customFormat="1" x14ac:dyDescent="0.45">
      <c r="B45" s="14"/>
      <c r="C45" s="14"/>
      <c r="D45" s="14"/>
      <c r="E45" s="14"/>
      <c r="F45" s="14"/>
      <c r="G45" s="14"/>
      <c r="H45" s="14"/>
      <c r="I45" s="14"/>
      <c r="J45" s="16"/>
      <c r="K45" s="14"/>
      <c r="L45" s="14"/>
      <c r="M45" s="14"/>
      <c r="N45" s="56"/>
      <c r="O45" s="59"/>
      <c r="P45" s="49"/>
    </row>
    <row r="46" spans="2:16" s="3" customFormat="1" x14ac:dyDescent="0.45">
      <c r="B46" s="17"/>
      <c r="C46" s="17"/>
      <c r="D46" s="17"/>
      <c r="G46" s="17"/>
      <c r="H46" s="17"/>
      <c r="J46" s="16"/>
      <c r="K46" s="16"/>
      <c r="L46" s="16"/>
      <c r="N46" s="49"/>
      <c r="O46" s="59"/>
      <c r="P46" s="53"/>
    </row>
    <row r="47" spans="2:16" s="3" customFormat="1" x14ac:dyDescent="0.45">
      <c r="N47" s="49"/>
      <c r="O47" s="59"/>
      <c r="P47" s="53"/>
    </row>
    <row r="48" spans="2:16" s="3" customFormat="1" x14ac:dyDescent="0.45">
      <c r="N48" s="49"/>
      <c r="O48" s="59"/>
      <c r="P48" s="53"/>
    </row>
  </sheetData>
  <customSheetViews>
    <customSheetView guid="{1FE68E9A-AB75-4E2C-B18B-F89E0A523960}" scale="150" showGridLines="0" fitToPage="1" topLeftCell="C1">
      <selection activeCell="J23" sqref="J23"/>
      <pageMargins left="0" right="0" top="0" bottom="0" header="0" footer="0"/>
      <pageSetup scale="95" fitToHeight="2" orientation="landscape" horizontalDpi="300" r:id="rId1"/>
      <headerFooter alignWithMargins="0"/>
    </customSheetView>
  </customSheetViews>
  <dataValidations count="1">
    <dataValidation type="list" allowBlank="1" showInputMessage="1" showErrorMessage="1" sqref="O5" xr:uid="{C86F11CE-F57F-4626-8516-37E97FED513C}">
      <formula1>Schedules</formula1>
    </dataValidation>
  </dataValidations>
  <pageMargins left="0" right="0" top="1" bottom="0.5" header="0.5" footer="0.5"/>
  <pageSetup scale="95" fitToHeight="2" orientation="landscape" horizont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66E2-56C6-4834-BEDE-85BDE4C142CD}">
  <sheetPr>
    <pageSetUpPr fitToPage="1"/>
  </sheetPr>
  <dimension ref="B1:P48"/>
  <sheetViews>
    <sheetView showGridLines="0" workbookViewId="0"/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7.87890625" style="21" customWidth="1"/>
    <col min="4" max="5" width="8.29296875" style="21" customWidth="1"/>
    <col min="6" max="6" width="36.29296875" style="21" customWidth="1"/>
    <col min="7" max="7" width="7.29296875" style="25" customWidth="1"/>
    <col min="8" max="8" width="3.41015625" style="25" customWidth="1"/>
    <col min="9" max="9" width="2.87890625" style="25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21.703125" style="47" hidden="1" customWidth="1"/>
    <col min="15" max="15" width="12.703125" style="48" hidden="1" customWidth="1"/>
    <col min="16" max="16" width="25.703125" style="62" hidden="1" customWidth="1"/>
    <col min="17" max="16384" width="11.41015625" style="21"/>
  </cols>
  <sheetData>
    <row r="1" spans="2:16" x14ac:dyDescent="0.45">
      <c r="B1" s="72" t="s">
        <v>89</v>
      </c>
    </row>
    <row r="2" spans="2:16" ht="13.2" customHeight="1" x14ac:dyDescent="0.45">
      <c r="B2" s="19" t="s">
        <v>127</v>
      </c>
      <c r="C2" s="18"/>
      <c r="D2" s="18"/>
      <c r="E2" s="18"/>
      <c r="F2" s="19"/>
      <c r="G2" s="18"/>
      <c r="H2" s="18"/>
      <c r="I2" s="18"/>
      <c r="J2" s="20"/>
      <c r="K2" s="20"/>
      <c r="L2" s="20"/>
      <c r="M2" s="20"/>
      <c r="N2" s="115" t="s">
        <v>128</v>
      </c>
      <c r="O2" s="116">
        <v>1</v>
      </c>
      <c r="P2" s="114" t="s">
        <v>118</v>
      </c>
    </row>
    <row r="3" spans="2:16" ht="13.2" customHeight="1" x14ac:dyDescent="0.45">
      <c r="B3" s="19"/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64" t="s">
        <v>129</v>
      </c>
      <c r="O3" s="74">
        <v>1.0149999999999999</v>
      </c>
      <c r="P3" s="62" t="s">
        <v>120</v>
      </c>
    </row>
    <row r="4" spans="2:16" ht="13.2" customHeight="1" x14ac:dyDescent="0.45">
      <c r="B4" s="22"/>
      <c r="C4" s="18"/>
      <c r="D4" s="18"/>
      <c r="E4" s="18"/>
      <c r="F4" s="19"/>
      <c r="G4" s="18"/>
      <c r="H4" s="18"/>
      <c r="I4" s="18"/>
      <c r="J4" s="18" t="s">
        <v>42</v>
      </c>
      <c r="K4" s="20"/>
      <c r="L4" s="20"/>
      <c r="M4" s="20"/>
      <c r="N4" s="112" t="s">
        <v>95</v>
      </c>
      <c r="O4" s="116">
        <f>IncrPercNovember2019v2*IncrPercNovember2019</f>
        <v>1.0149999999999999</v>
      </c>
    </row>
    <row r="5" spans="2:16" ht="13.2" customHeight="1" x14ac:dyDescent="0.45">
      <c r="B5" s="18" t="s">
        <v>43</v>
      </c>
      <c r="C5" s="18" t="s">
        <v>44</v>
      </c>
      <c r="D5" s="18" t="s">
        <v>96</v>
      </c>
      <c r="E5" s="18" t="s">
        <v>45</v>
      </c>
      <c r="F5" s="19" t="s">
        <v>46</v>
      </c>
      <c r="G5" s="23" t="s">
        <v>47</v>
      </c>
      <c r="H5" s="18" t="s">
        <v>48</v>
      </c>
      <c r="I5" s="18" t="s">
        <v>49</v>
      </c>
      <c r="J5" s="18" t="s">
        <v>50</v>
      </c>
      <c r="K5" s="20"/>
      <c r="L5" s="20"/>
      <c r="M5" s="20"/>
      <c r="N5" s="64" t="s">
        <v>97</v>
      </c>
      <c r="O5" s="62" t="s">
        <v>130</v>
      </c>
    </row>
    <row r="6" spans="2:16" ht="13.2" customHeight="1" x14ac:dyDescent="0.45">
      <c r="G6" s="24"/>
      <c r="J6" s="25"/>
    </row>
    <row r="7" spans="2:16" ht="13.2" customHeight="1" x14ac:dyDescent="0.45">
      <c r="B7" s="25" t="s">
        <v>51</v>
      </c>
      <c r="C7" s="25">
        <v>2</v>
      </c>
      <c r="D7" s="42" t="s">
        <v>52</v>
      </c>
      <c r="E7" s="25" t="s">
        <v>53</v>
      </c>
      <c r="F7" s="22" t="s">
        <v>54</v>
      </c>
      <c r="G7" s="24">
        <v>300</v>
      </c>
      <c r="H7" s="25">
        <v>6</v>
      </c>
      <c r="I7" s="25" t="s">
        <v>55</v>
      </c>
      <c r="J7" s="67">
        <f ca="1">O7</f>
        <v>46.155170318124419</v>
      </c>
      <c r="K7" s="65"/>
      <c r="L7" s="31"/>
      <c r="M7" s="20"/>
      <c r="N7" s="64" t="str">
        <f>E7</f>
        <v>03860C</v>
      </c>
      <c r="O7" s="48">
        <f ca="1">VLOOKUP(N7,INDIRECT($O$5),2,0)*IncrPercNovember2019*IncrPercNovember2019v2</f>
        <v>46.155170318124419</v>
      </c>
      <c r="P7" s="62" t="str">
        <f>F7</f>
        <v>Electrician</v>
      </c>
    </row>
    <row r="8" spans="2:16" ht="13.2" customHeight="1" x14ac:dyDescent="0.45">
      <c r="B8" s="25" t="s">
        <v>51</v>
      </c>
      <c r="C8" s="25">
        <v>2</v>
      </c>
      <c r="D8" s="42" t="s">
        <v>56</v>
      </c>
      <c r="E8" s="25" t="s">
        <v>57</v>
      </c>
      <c r="F8" s="22" t="s">
        <v>58</v>
      </c>
      <c r="G8" s="24">
        <v>363</v>
      </c>
      <c r="H8" s="25">
        <v>8</v>
      </c>
      <c r="I8" s="25" t="s">
        <v>55</v>
      </c>
      <c r="J8" s="67">
        <f t="shared" ref="J8:J9" ca="1" si="0">O8</f>
        <v>48.960953191665475</v>
      </c>
      <c r="K8" s="65"/>
      <c r="L8" s="31"/>
      <c r="M8" s="20"/>
      <c r="N8" s="64" t="str">
        <f t="shared" ref="N8:N9" si="1">E8</f>
        <v>04600C</v>
      </c>
      <c r="O8" s="48">
        <f ca="1">VLOOKUP(N8,INDIRECT($O$5),2,0)*IncrPercNovember2019*IncrPercNovember2019v2</f>
        <v>48.960953191665475</v>
      </c>
      <c r="P8" s="62" t="str">
        <f t="shared" ref="P8:P11" si="2">F8</f>
        <v>Foreman, Electrician</v>
      </c>
    </row>
    <row r="9" spans="2:16" ht="13.2" customHeight="1" x14ac:dyDescent="0.45">
      <c r="B9" s="25" t="s">
        <v>51</v>
      </c>
      <c r="C9" s="25">
        <v>2</v>
      </c>
      <c r="D9" s="42" t="s">
        <v>59</v>
      </c>
      <c r="E9" s="25" t="s">
        <v>60</v>
      </c>
      <c r="F9" s="22" t="s">
        <v>61</v>
      </c>
      <c r="G9" s="24">
        <v>363</v>
      </c>
      <c r="H9" s="25">
        <v>8</v>
      </c>
      <c r="I9" s="25" t="s">
        <v>55</v>
      </c>
      <c r="J9" s="67">
        <f t="shared" ca="1" si="0"/>
        <v>50.36384462843602</v>
      </c>
      <c r="K9" s="65"/>
      <c r="L9" s="31"/>
      <c r="M9" s="20"/>
      <c r="N9" s="64" t="str">
        <f t="shared" si="1"/>
        <v>04605C</v>
      </c>
      <c r="O9" s="48">
        <f ca="1">VLOOKUP(N9,INDIRECT($O$5),2,0)*IncrPercNovember2019*IncrPercNovember2019v2</f>
        <v>50.36384462843602</v>
      </c>
      <c r="P9" s="62" t="str">
        <f t="shared" si="2"/>
        <v xml:space="preserve">Foreman, (Master) Electrician </v>
      </c>
    </row>
    <row r="10" spans="2:16" ht="13.2" customHeight="1" x14ac:dyDescent="0.45">
      <c r="B10" s="25" t="s">
        <v>51</v>
      </c>
      <c r="C10" s="25">
        <v>2</v>
      </c>
      <c r="D10" s="42" t="s">
        <v>62</v>
      </c>
      <c r="E10" s="25" t="s">
        <v>63</v>
      </c>
      <c r="F10" s="22" t="s">
        <v>64</v>
      </c>
      <c r="G10" s="24">
        <v>475</v>
      </c>
      <c r="H10" s="25">
        <v>10</v>
      </c>
      <c r="I10" s="25" t="s">
        <v>55</v>
      </c>
      <c r="J10" s="67">
        <f ca="1">O10</f>
        <v>51.76673606520653</v>
      </c>
      <c r="K10" s="65"/>
      <c r="L10" s="31"/>
      <c r="M10" s="20"/>
      <c r="N10" s="64" t="str">
        <f t="shared" ref="N10" si="3">E10</f>
        <v>05140C</v>
      </c>
      <c r="O10" s="48">
        <f ca="1">VLOOKUP(N10,INDIRECT($O$5),2,0)*IncrPercNovember2019*IncrPercNovember2019v2</f>
        <v>51.76673606520653</v>
      </c>
      <c r="P10" s="62" t="str">
        <f t="shared" si="2"/>
        <v>*General Foreman, Electrician</v>
      </c>
    </row>
    <row r="11" spans="2:16" ht="13.2" customHeight="1" x14ac:dyDescent="0.45">
      <c r="B11" s="25" t="s">
        <v>51</v>
      </c>
      <c r="C11" s="25">
        <v>2</v>
      </c>
      <c r="D11" s="42" t="s">
        <v>62</v>
      </c>
      <c r="E11" s="25" t="s">
        <v>99</v>
      </c>
      <c r="F11" s="22" t="s">
        <v>100</v>
      </c>
      <c r="G11" s="24"/>
      <c r="H11" s="25">
        <v>10</v>
      </c>
      <c r="I11" s="25" t="s">
        <v>55</v>
      </c>
      <c r="J11" s="67">
        <f ca="1">O11</f>
        <v>51.76673606520653</v>
      </c>
      <c r="K11" s="20"/>
      <c r="L11" s="20"/>
      <c r="M11" s="20"/>
      <c r="N11" s="50" t="s">
        <v>99</v>
      </c>
      <c r="O11" s="48">
        <f ca="1">VLOOKUP(N11,INDIRECT($O$5),2,0)*IncrPercNovember2019*IncrPercNovember2019v2</f>
        <v>51.76673606520653</v>
      </c>
      <c r="P11" s="62" t="str">
        <f t="shared" si="2"/>
        <v>*Supervisor Water Plant Electrical and Control Systems</v>
      </c>
    </row>
    <row r="12" spans="2:16" ht="13.2" customHeight="1" x14ac:dyDescent="0.45">
      <c r="B12" s="25"/>
      <c r="C12" s="25"/>
      <c r="D12" s="42"/>
      <c r="E12" s="25"/>
      <c r="F12" s="22"/>
      <c r="G12" s="24"/>
      <c r="J12" s="67"/>
      <c r="K12" s="65"/>
      <c r="L12" s="31"/>
      <c r="M12" s="20"/>
      <c r="N12" s="64"/>
    </row>
    <row r="13" spans="2:16" ht="13.2" customHeight="1" x14ac:dyDescent="0.45">
      <c r="B13" s="18"/>
      <c r="C13" s="18"/>
      <c r="D13" s="32"/>
      <c r="E13" s="18"/>
      <c r="F13" s="22" t="s">
        <v>101</v>
      </c>
      <c r="G13" s="23"/>
      <c r="H13" s="18"/>
      <c r="I13" s="18"/>
      <c r="J13" s="30"/>
      <c r="K13" s="65"/>
      <c r="L13" s="31"/>
      <c r="M13" s="20"/>
      <c r="N13" s="64"/>
    </row>
    <row r="14" spans="2:16" ht="13.2" customHeight="1" x14ac:dyDescent="0.45">
      <c r="B14" s="19"/>
      <c r="C14" s="18"/>
      <c r="D14" s="18"/>
      <c r="E14" s="18"/>
      <c r="F14" s="19"/>
      <c r="G14" s="18"/>
      <c r="H14" s="18"/>
      <c r="I14" s="18"/>
      <c r="J14" s="20"/>
      <c r="K14" s="20"/>
      <c r="L14" s="20"/>
      <c r="M14" s="20"/>
      <c r="N14" s="50"/>
      <c r="O14" s="57"/>
    </row>
    <row r="15" spans="2:16" ht="13.2" customHeight="1" x14ac:dyDescent="0.45">
      <c r="C15" s="1" t="s">
        <v>66</v>
      </c>
      <c r="D15" s="2"/>
      <c r="H15" s="2"/>
      <c r="I15" s="2"/>
      <c r="J15" s="2"/>
      <c r="K15" s="3"/>
      <c r="L15" s="3"/>
      <c r="M15" s="3"/>
      <c r="N15" s="49"/>
      <c r="O15" s="60"/>
      <c r="P15" s="53"/>
    </row>
    <row r="16" spans="2:16" ht="13.2" customHeight="1" x14ac:dyDescent="0.45">
      <c r="C16" s="8" t="s">
        <v>67</v>
      </c>
      <c r="G16" s="5"/>
      <c r="H16" s="6"/>
      <c r="I16" s="6"/>
      <c r="J16" s="7"/>
      <c r="K16" s="7"/>
      <c r="L16" s="3"/>
      <c r="M16" s="3"/>
      <c r="N16" s="49"/>
      <c r="O16" s="60"/>
      <c r="P16" s="53"/>
    </row>
    <row r="17" spans="3:16" ht="13.2" customHeight="1" x14ac:dyDescent="0.45">
      <c r="C17" s="67">
        <f ca="1">O17</f>
        <v>0.26593</v>
      </c>
      <c r="D17" s="5" t="s">
        <v>68</v>
      </c>
      <c r="I17" s="10"/>
      <c r="J17" s="11"/>
      <c r="K17" s="11"/>
      <c r="L17" s="12"/>
      <c r="M17" s="12"/>
      <c r="N17" s="49" t="s">
        <v>69</v>
      </c>
      <c r="O17" s="48">
        <f ca="1">VLOOKUP(N17,INDIRECT($O$5),2,0)*IncrPercNovember2019*IncrPercNovember2019v2</f>
        <v>0.26593</v>
      </c>
      <c r="P17" s="62" t="s">
        <v>102</v>
      </c>
    </row>
    <row r="18" spans="3:16" ht="13.2" customHeight="1" x14ac:dyDescent="0.45">
      <c r="C18" s="67">
        <f ca="1">O18</f>
        <v>0.36742999999999998</v>
      </c>
      <c r="D18" s="5" t="s">
        <v>70</v>
      </c>
      <c r="I18" s="10"/>
      <c r="J18" s="11"/>
      <c r="K18" s="11"/>
      <c r="L18" s="12"/>
      <c r="M18" s="12"/>
      <c r="N18" s="49" t="s">
        <v>71</v>
      </c>
      <c r="O18" s="48">
        <f ca="1">VLOOKUP(N18,INDIRECT($O$5),2,0)*IncrPercNovember2019*IncrPercNovember2019v2</f>
        <v>0.36742999999999998</v>
      </c>
      <c r="P18" s="62" t="s">
        <v>103</v>
      </c>
    </row>
    <row r="19" spans="3:16" ht="13.2" customHeight="1" x14ac:dyDescent="0.45">
      <c r="C19" s="67">
        <f ca="1">O19</f>
        <v>0.58565499999999993</v>
      </c>
      <c r="D19" s="5" t="s">
        <v>72</v>
      </c>
      <c r="I19" s="10"/>
      <c r="J19" s="11"/>
      <c r="K19" s="11"/>
      <c r="L19" s="12"/>
      <c r="M19" s="12"/>
      <c r="N19" s="49" t="s">
        <v>73</v>
      </c>
      <c r="O19" s="48">
        <f ca="1">VLOOKUP(N19,INDIRECT($O$5),2,0)*IncrPercNovember2019*IncrPercNovember2019v2</f>
        <v>0.58565499999999993</v>
      </c>
      <c r="P19" s="62" t="s">
        <v>104</v>
      </c>
    </row>
    <row r="20" spans="3:16" ht="13.2" customHeight="1" x14ac:dyDescent="0.45">
      <c r="C20" s="67">
        <f ca="1">O20</f>
        <v>0.87797499999999995</v>
      </c>
      <c r="D20" s="5" t="s">
        <v>74</v>
      </c>
      <c r="I20" s="10"/>
      <c r="J20" s="11"/>
      <c r="K20" s="11"/>
      <c r="L20" s="12"/>
      <c r="M20" s="12"/>
      <c r="N20" s="49" t="s">
        <v>75</v>
      </c>
      <c r="O20" s="48">
        <f ca="1">VLOOKUP(N20,INDIRECT($O$5),2,0)*IncrPercNovember2019*IncrPercNovember2019v2</f>
        <v>0.87797499999999995</v>
      </c>
      <c r="P20" s="62" t="s">
        <v>105</v>
      </c>
    </row>
    <row r="21" spans="3:16" ht="13.2" customHeight="1" x14ac:dyDescent="0.45"/>
    <row r="22" spans="3:16" ht="13.2" customHeight="1" x14ac:dyDescent="0.45">
      <c r="C22" s="1" t="s">
        <v>76</v>
      </c>
    </row>
    <row r="23" spans="3:16" ht="13.2" customHeight="1" x14ac:dyDescent="0.45">
      <c r="C23" s="46" t="str">
        <f ca="1">"Provided that a night shift differential of "&amp;TEXT(O23,"$#.000")&amp;" per hour for each hour, or fraction thereof, they"</f>
        <v>Provided that a night shift differential of $2.155 per hour for each hour, or fraction thereof, they</v>
      </c>
      <c r="G23" s="33"/>
      <c r="H23" s="19"/>
      <c r="N23" s="47" t="s">
        <v>79</v>
      </c>
      <c r="O23" s="48">
        <f ca="1">VLOOKUP(N23,INDIRECT($O$5),2,0)*IncrPercNovember2019*IncrPercNovember2019v2</f>
        <v>2.1550080361829682</v>
      </c>
      <c r="P23" s="62" t="s">
        <v>106</v>
      </c>
    </row>
    <row r="24" spans="3:16" ht="13.2" customHeight="1" x14ac:dyDescent="0.45">
      <c r="C24" s="46" t="s">
        <v>80</v>
      </c>
      <c r="N24" s="47" t="s">
        <v>81</v>
      </c>
      <c r="O24" s="61">
        <f ca="1">O23</f>
        <v>2.1550080361829682</v>
      </c>
      <c r="P24" s="62" t="s">
        <v>107</v>
      </c>
    </row>
    <row r="25" spans="3:16" ht="13.2" customHeight="1" x14ac:dyDescent="0.45">
      <c r="C25" s="46" t="s">
        <v>82</v>
      </c>
    </row>
    <row r="26" spans="3:16" ht="13.2" customHeight="1" x14ac:dyDescent="0.45">
      <c r="C26" s="46"/>
    </row>
    <row r="27" spans="3:16" ht="13.2" customHeight="1" x14ac:dyDescent="0.45">
      <c r="C27" s="46" t="str">
        <f ca="1">"Provided that a weekend shift differential of "&amp;TEXT(O27,"$#.000")&amp;" per hour shall be paid to employees who work"</f>
        <v>Provided that a weekend shift differential of $1.461 per hour shall be paid to employees who work</v>
      </c>
      <c r="G27" s="35"/>
      <c r="H27" s="19"/>
      <c r="N27" s="47" t="s">
        <v>85</v>
      </c>
      <c r="O27" s="48">
        <f ca="1">VLOOKUP(N27,INDIRECT($O$5),2,0)*IncrPercNovember2019*IncrPercNovember2019v2</f>
        <v>1.4612131898437497</v>
      </c>
      <c r="P27" s="62" t="s">
        <v>108</v>
      </c>
    </row>
    <row r="28" spans="3:16" ht="13.2" customHeight="1" x14ac:dyDescent="0.45">
      <c r="C28" s="46" t="s">
        <v>86</v>
      </c>
    </row>
    <row r="29" spans="3:16" ht="13.2" customHeight="1" x14ac:dyDescent="0.45">
      <c r="F29" s="19"/>
    </row>
    <row r="30" spans="3:16" s="12" customFormat="1" x14ac:dyDescent="0.45">
      <c r="C30" s="12" t="s">
        <v>109</v>
      </c>
      <c r="N30" s="49" t="s">
        <v>87</v>
      </c>
      <c r="O30" s="61">
        <f>ROUND(VLOOKUP(N30,RatesMay2019,2,0),3)</f>
        <v>35</v>
      </c>
      <c r="P30" s="62" t="s">
        <v>110</v>
      </c>
    </row>
    <row r="31" spans="3:16" s="12" customFormat="1" x14ac:dyDescent="0.45">
      <c r="C31" s="68" t="s">
        <v>111</v>
      </c>
      <c r="N31" s="49" t="s">
        <v>88</v>
      </c>
      <c r="O31" s="61">
        <f>ROUND(VLOOKUP(N31,RatesMay2019,2,0),3)</f>
        <v>45</v>
      </c>
      <c r="P31" s="62" t="s">
        <v>112</v>
      </c>
    </row>
    <row r="32" spans="3:16" s="3" customFormat="1" x14ac:dyDescent="0.45">
      <c r="C32" s="68" t="s">
        <v>113</v>
      </c>
      <c r="N32" s="49"/>
      <c r="O32" s="59"/>
      <c r="P32" s="53"/>
    </row>
    <row r="33" spans="2:16" s="3" customFormat="1" x14ac:dyDescent="0.45">
      <c r="C33" s="68" t="s">
        <v>114</v>
      </c>
      <c r="N33" s="49"/>
      <c r="O33" s="59"/>
      <c r="P33" s="53"/>
    </row>
    <row r="34" spans="2:16" s="3" customFormat="1" x14ac:dyDescent="0.45">
      <c r="C34" s="68" t="s">
        <v>115</v>
      </c>
      <c r="N34" s="49"/>
      <c r="O34" s="59"/>
      <c r="P34" s="53"/>
    </row>
    <row r="35" spans="2:16" s="3" customFormat="1" x14ac:dyDescent="0.45">
      <c r="N35" s="49"/>
      <c r="O35" s="59"/>
      <c r="P35" s="53"/>
    </row>
    <row r="36" spans="2:16" s="3" customFormat="1" x14ac:dyDescent="0.45">
      <c r="N36" s="49"/>
      <c r="O36" s="59"/>
      <c r="P36" s="53"/>
    </row>
    <row r="37" spans="2:16" s="3" customFormat="1" x14ac:dyDescent="0.45">
      <c r="N37" s="49"/>
      <c r="O37" s="59"/>
      <c r="P37" s="53"/>
    </row>
    <row r="38" spans="2:16" s="3" customFormat="1" x14ac:dyDescent="0.45">
      <c r="N38" s="49"/>
      <c r="O38" s="59"/>
      <c r="P38" s="53"/>
    </row>
    <row r="39" spans="2:16" s="3" customFormat="1" x14ac:dyDescent="0.45">
      <c r="N39" s="49"/>
      <c r="O39" s="59"/>
      <c r="P39" s="53"/>
    </row>
    <row r="40" spans="2:16" s="3" customFormat="1" x14ac:dyDescent="0.45">
      <c r="N40" s="49"/>
      <c r="O40" s="59"/>
      <c r="P40" s="53"/>
    </row>
    <row r="41" spans="2:16" s="3" customFormat="1" x14ac:dyDescent="0.45">
      <c r="N41" s="49"/>
      <c r="O41" s="59"/>
      <c r="P41" s="53"/>
    </row>
    <row r="42" spans="2:16" s="3" customFormat="1" x14ac:dyDescent="0.45">
      <c r="N42" s="49"/>
      <c r="O42" s="59"/>
      <c r="P42" s="53"/>
    </row>
    <row r="43" spans="2:16" s="3" customFormat="1" x14ac:dyDescent="0.45">
      <c r="B43" s="29"/>
      <c r="C43" s="14"/>
      <c r="D43" s="14"/>
      <c r="E43" s="15"/>
      <c r="F43" s="14"/>
      <c r="G43" s="14"/>
      <c r="H43" s="14"/>
      <c r="I43" s="14"/>
      <c r="J43" s="14"/>
      <c r="K43" s="14"/>
      <c r="L43" s="14"/>
      <c r="M43" s="14"/>
      <c r="N43" s="56"/>
      <c r="O43" s="59"/>
      <c r="P43" s="55"/>
    </row>
    <row r="44" spans="2:16" s="3" customFormat="1" x14ac:dyDescent="0.4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56"/>
      <c r="O44" s="59"/>
      <c r="P44" s="55"/>
    </row>
    <row r="45" spans="2:16" s="17" customFormat="1" x14ac:dyDescent="0.45">
      <c r="B45" s="14"/>
      <c r="C45" s="14"/>
      <c r="D45" s="14"/>
      <c r="E45" s="14"/>
      <c r="F45" s="14"/>
      <c r="G45" s="14"/>
      <c r="H45" s="14"/>
      <c r="I45" s="14"/>
      <c r="J45" s="16"/>
      <c r="K45" s="14"/>
      <c r="L45" s="14"/>
      <c r="M45" s="14"/>
      <c r="N45" s="56"/>
      <c r="O45" s="59"/>
      <c r="P45" s="56"/>
    </row>
    <row r="46" spans="2:16" s="3" customFormat="1" x14ac:dyDescent="0.45">
      <c r="B46" s="17"/>
      <c r="C46" s="17"/>
      <c r="D46" s="17"/>
      <c r="G46" s="17"/>
      <c r="H46" s="17"/>
      <c r="J46" s="16"/>
      <c r="K46" s="16"/>
      <c r="L46" s="16"/>
      <c r="N46" s="49"/>
      <c r="O46" s="59"/>
      <c r="P46" s="53"/>
    </row>
    <row r="47" spans="2:16" s="3" customFormat="1" x14ac:dyDescent="0.45">
      <c r="N47" s="49"/>
      <c r="O47" s="59"/>
      <c r="P47" s="53"/>
    </row>
    <row r="48" spans="2:16" s="3" customFormat="1" x14ac:dyDescent="0.45">
      <c r="N48" s="49"/>
      <c r="O48" s="59"/>
      <c r="P48" s="53"/>
    </row>
  </sheetData>
  <customSheetViews>
    <customSheetView guid="{1FE68E9A-AB75-4E2C-B18B-F89E0A523960}" showGridLines="0" fitToPage="1">
      <selection activeCell="N7" sqref="N7:O27"/>
      <pageMargins left="0" right="0" top="0" bottom="0" header="0" footer="0"/>
      <pageSetup scale="95" fitToHeight="2" orientation="landscape" horizontalDpi="300" r:id="rId1"/>
      <headerFooter alignWithMargins="0"/>
    </customSheetView>
  </customSheetViews>
  <dataValidations count="1">
    <dataValidation type="list" allowBlank="1" showInputMessage="1" showErrorMessage="1" sqref="O5" xr:uid="{0980AC9D-F188-4956-9251-220ADEC48E79}">
      <formula1>Schedules</formula1>
    </dataValidation>
  </dataValidations>
  <pageMargins left="0" right="0" top="1" bottom="0.5" header="0.5" footer="0.5"/>
  <pageSetup scale="95" fitToHeight="2" orientation="landscape" horizont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BA7BC-DB0B-46D5-A947-C36FB2C3A4C5}">
  <sheetPr>
    <tabColor theme="1"/>
    <pageSetUpPr fitToPage="1"/>
  </sheetPr>
  <dimension ref="B1:Q49"/>
  <sheetViews>
    <sheetView showGridLines="0" zoomScaleNormal="100" workbookViewId="0">
      <selection activeCell="O29" sqref="O29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7.117187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3.41015625" style="25" customWidth="1"/>
    <col min="9" max="9" width="2.87890625" style="25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5.87890625" style="47" bestFit="1" customWidth="1"/>
    <col min="15" max="15" width="16.5859375" style="48" bestFit="1" customWidth="1"/>
    <col min="16" max="16" width="27.29296875" style="62" bestFit="1" customWidth="1"/>
    <col min="17" max="17" width="13.5859375" style="62" bestFit="1" customWidth="1"/>
    <col min="18" max="16384" width="11.41015625" style="21"/>
  </cols>
  <sheetData>
    <row r="1" spans="2:17" x14ac:dyDescent="0.45">
      <c r="B1" s="72" t="s">
        <v>89</v>
      </c>
      <c r="N1" s="112"/>
      <c r="O1" s="113"/>
      <c r="P1" s="114"/>
    </row>
    <row r="2" spans="2:17" ht="13.2" customHeight="1" x14ac:dyDescent="0.45">
      <c r="B2" s="19" t="s">
        <v>131</v>
      </c>
      <c r="C2" s="18"/>
      <c r="D2" s="18"/>
      <c r="E2" s="18"/>
      <c r="F2" s="19"/>
      <c r="G2" s="18"/>
      <c r="H2" s="18"/>
      <c r="I2" s="18"/>
      <c r="J2" s="20"/>
      <c r="K2" s="20"/>
      <c r="L2" s="20"/>
      <c r="M2" s="20"/>
      <c r="N2" s="115" t="s">
        <v>132</v>
      </c>
      <c r="O2" s="116">
        <v>1</v>
      </c>
      <c r="P2" s="114" t="s">
        <v>118</v>
      </c>
    </row>
    <row r="3" spans="2:17" ht="13.2" customHeight="1" x14ac:dyDescent="0.45">
      <c r="B3" s="19"/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64" t="s">
        <v>133</v>
      </c>
      <c r="O3" s="74">
        <v>1</v>
      </c>
      <c r="P3" s="62" t="s">
        <v>120</v>
      </c>
    </row>
    <row r="4" spans="2:17" ht="13.2" customHeight="1" x14ac:dyDescent="0.45">
      <c r="B4" s="22"/>
      <c r="C4" s="18"/>
      <c r="D4" s="18"/>
      <c r="E4" s="18"/>
      <c r="F4" s="19"/>
      <c r="G4" s="18"/>
      <c r="H4" s="18"/>
      <c r="I4" s="18"/>
      <c r="J4" s="18" t="s">
        <v>42</v>
      </c>
      <c r="K4" s="20"/>
      <c r="L4" s="20"/>
      <c r="M4" s="20"/>
      <c r="N4" s="115" t="s">
        <v>95</v>
      </c>
      <c r="O4" s="116">
        <f>O3*IncrPercMay2020</f>
        <v>1</v>
      </c>
    </row>
    <row r="5" spans="2:17" ht="13.2" customHeight="1" x14ac:dyDescent="0.45">
      <c r="B5" s="18" t="s">
        <v>43</v>
      </c>
      <c r="C5" s="18" t="s">
        <v>44</v>
      </c>
      <c r="D5" s="18" t="s">
        <v>96</v>
      </c>
      <c r="E5" s="18" t="s">
        <v>45</v>
      </c>
      <c r="F5" s="19" t="s">
        <v>46</v>
      </c>
      <c r="G5" s="23" t="s">
        <v>47</v>
      </c>
      <c r="H5" s="18" t="s">
        <v>48</v>
      </c>
      <c r="I5" s="18" t="s">
        <v>49</v>
      </c>
      <c r="J5" s="18" t="s">
        <v>50</v>
      </c>
      <c r="K5" s="20"/>
      <c r="L5" s="20"/>
      <c r="M5" s="20"/>
      <c r="N5" s="64" t="s">
        <v>97</v>
      </c>
      <c r="O5" s="62" t="s">
        <v>134</v>
      </c>
    </row>
    <row r="6" spans="2:17" ht="13.2" customHeight="1" x14ac:dyDescent="0.45">
      <c r="G6" s="24"/>
      <c r="J6" s="25"/>
    </row>
    <row r="7" spans="2:17" ht="13.2" customHeight="1" x14ac:dyDescent="0.45">
      <c r="B7" s="25" t="s">
        <v>51</v>
      </c>
      <c r="C7" s="25">
        <v>2</v>
      </c>
      <c r="D7" s="42" t="s">
        <v>52</v>
      </c>
      <c r="E7" s="25" t="s">
        <v>53</v>
      </c>
      <c r="F7" s="22" t="s">
        <v>54</v>
      </c>
      <c r="G7" s="24">
        <v>300</v>
      </c>
      <c r="H7" s="25">
        <v>6</v>
      </c>
      <c r="I7" s="25" t="s">
        <v>55</v>
      </c>
      <c r="J7" s="67">
        <f ca="1">O7</f>
        <v>46.22517031812442</v>
      </c>
      <c r="K7" s="20"/>
      <c r="L7" s="31"/>
      <c r="M7" s="20"/>
      <c r="N7" s="64" t="str">
        <f>E7</f>
        <v>03860C</v>
      </c>
      <c r="O7" s="48">
        <f ca="1">VLOOKUP(N7,INDIRECT($O$5),2,0)*(IncrPercMay2020*IncrPercMay2020v2)+P7</f>
        <v>46.22517031812442</v>
      </c>
      <c r="P7" s="69">
        <v>7.0000000000000007E-2</v>
      </c>
      <c r="Q7" s="63" t="s">
        <v>135</v>
      </c>
    </row>
    <row r="8" spans="2:17" ht="13.2" customHeight="1" x14ac:dyDescent="0.45">
      <c r="B8" s="25" t="s">
        <v>51</v>
      </c>
      <c r="C8" s="25">
        <v>2</v>
      </c>
      <c r="D8" s="42" t="s">
        <v>56</v>
      </c>
      <c r="E8" s="25" t="s">
        <v>57</v>
      </c>
      <c r="F8" s="22" t="s">
        <v>58</v>
      </c>
      <c r="G8" s="24">
        <v>363</v>
      </c>
      <c r="H8" s="25">
        <v>8</v>
      </c>
      <c r="I8" s="25" t="s">
        <v>55</v>
      </c>
      <c r="J8" s="67">
        <f t="shared" ref="J8:J9" ca="1" si="0">O8</f>
        <v>49.030999999999999</v>
      </c>
      <c r="K8" s="20"/>
      <c r="L8" s="31"/>
      <c r="M8" s="20"/>
      <c r="N8" s="64" t="str">
        <f t="shared" ref="N8:N9" si="1">E8</f>
        <v>04600C</v>
      </c>
      <c r="O8" s="48">
        <f ca="1">ROUND((VLOOKUP(N8,INDIRECT($O$5),2,0)*IncrPercMay2020*IncrPercMay2020v2)+P8,3)</f>
        <v>49.030999999999999</v>
      </c>
      <c r="P8" s="69">
        <v>7.0000000000000007E-2</v>
      </c>
      <c r="Q8" s="63" t="s">
        <v>135</v>
      </c>
    </row>
    <row r="9" spans="2:17" ht="13.2" customHeight="1" x14ac:dyDescent="0.45">
      <c r="B9" s="25" t="s">
        <v>51</v>
      </c>
      <c r="C9" s="25">
        <v>2</v>
      </c>
      <c r="D9" s="42" t="s">
        <v>59</v>
      </c>
      <c r="E9" s="25" t="s">
        <v>60</v>
      </c>
      <c r="F9" s="22" t="s">
        <v>61</v>
      </c>
      <c r="G9" s="24">
        <v>363</v>
      </c>
      <c r="H9" s="25">
        <v>8</v>
      </c>
      <c r="I9" s="25" t="s">
        <v>55</v>
      </c>
      <c r="J9" s="67">
        <f t="shared" ca="1" si="0"/>
        <v>50.433999999999997</v>
      </c>
      <c r="K9" s="20"/>
      <c r="L9" s="31"/>
      <c r="M9" s="20"/>
      <c r="N9" s="64" t="str">
        <f t="shared" si="1"/>
        <v>04605C</v>
      </c>
      <c r="O9" s="48">
        <f ca="1">ROUND((VLOOKUP(N9,INDIRECT($O$5),2,0)*IncrPercMay2020*IncrPercMay2020v2)+P9,3)</f>
        <v>50.433999999999997</v>
      </c>
      <c r="P9" s="69">
        <v>7.0000000000000007E-2</v>
      </c>
      <c r="Q9" s="63" t="s">
        <v>135</v>
      </c>
    </row>
    <row r="10" spans="2:17" ht="13.2" customHeight="1" x14ac:dyDescent="0.45">
      <c r="B10" s="25" t="s">
        <v>51</v>
      </c>
      <c r="C10" s="25">
        <v>2</v>
      </c>
      <c r="D10" s="42" t="s">
        <v>62</v>
      </c>
      <c r="E10" s="25" t="s">
        <v>63</v>
      </c>
      <c r="F10" s="22" t="s">
        <v>64</v>
      </c>
      <c r="G10" s="24">
        <v>475</v>
      </c>
      <c r="H10" s="25">
        <v>10</v>
      </c>
      <c r="I10" s="25" t="s">
        <v>55</v>
      </c>
      <c r="J10" s="67">
        <f ca="1">O10</f>
        <v>51.837000000000003</v>
      </c>
      <c r="K10" s="20"/>
      <c r="L10" s="31"/>
      <c r="M10" s="20"/>
      <c r="N10" s="64" t="str">
        <f t="shared" ref="N10" si="2">E10</f>
        <v>05140C</v>
      </c>
      <c r="O10" s="48">
        <f ca="1">ROUND((VLOOKUP(N10,INDIRECT($O$5),2,0)*IncrPercMay2020*IncrPercMay2020v2)+P10,3)</f>
        <v>51.837000000000003</v>
      </c>
      <c r="P10" s="69">
        <v>7.0000000000000007E-2</v>
      </c>
      <c r="Q10" s="63" t="s">
        <v>135</v>
      </c>
    </row>
    <row r="11" spans="2:17" ht="13.2" customHeight="1" x14ac:dyDescent="0.45">
      <c r="B11" s="25" t="s">
        <v>51</v>
      </c>
      <c r="C11" s="25">
        <v>2</v>
      </c>
      <c r="D11" s="42" t="s">
        <v>62</v>
      </c>
      <c r="E11" s="25" t="s">
        <v>99</v>
      </c>
      <c r="F11" s="22" t="s">
        <v>100</v>
      </c>
      <c r="G11" s="24"/>
      <c r="H11" s="25">
        <v>10</v>
      </c>
      <c r="I11" s="25" t="s">
        <v>55</v>
      </c>
      <c r="J11" s="67">
        <f ca="1">O11</f>
        <v>51.837000000000003</v>
      </c>
      <c r="K11" s="20"/>
      <c r="L11" s="31"/>
      <c r="M11" s="20"/>
      <c r="N11" s="47" t="s">
        <v>99</v>
      </c>
      <c r="O11" s="48">
        <f ca="1">ROUND((VLOOKUP(N11,INDIRECT($O$5),2,0)*IncrPercMay2020*IncrPercMay2020v2)+P11,3)</f>
        <v>51.837000000000003</v>
      </c>
      <c r="P11" s="69">
        <v>7.0000000000000007E-2</v>
      </c>
      <c r="Q11" s="63" t="s">
        <v>135</v>
      </c>
    </row>
    <row r="12" spans="2:17" ht="13.2" customHeight="1" x14ac:dyDescent="0.45">
      <c r="B12" s="25"/>
      <c r="C12" s="25"/>
      <c r="D12" s="42"/>
      <c r="E12" s="25"/>
      <c r="F12" s="22"/>
      <c r="G12" s="24"/>
      <c r="J12" s="67"/>
      <c r="K12" s="20"/>
      <c r="L12" s="31"/>
      <c r="M12" s="20"/>
      <c r="N12" s="64"/>
      <c r="P12" s="69"/>
      <c r="Q12" s="63"/>
    </row>
    <row r="13" spans="2:17" ht="13.2" customHeight="1" x14ac:dyDescent="0.45">
      <c r="B13" s="18"/>
      <c r="C13" s="18"/>
      <c r="D13" s="32"/>
      <c r="E13" s="18"/>
      <c r="F13" s="22" t="s">
        <v>101</v>
      </c>
      <c r="G13" s="23"/>
      <c r="H13" s="18"/>
      <c r="I13" s="18"/>
      <c r="J13" s="30"/>
      <c r="K13" s="20"/>
      <c r="L13" s="31"/>
      <c r="M13" s="20"/>
      <c r="N13" s="64"/>
      <c r="P13" s="69"/>
      <c r="Q13" s="63"/>
    </row>
    <row r="14" spans="2:17" ht="13.2" customHeight="1" x14ac:dyDescent="0.45">
      <c r="C14" s="1" t="s">
        <v>66</v>
      </c>
      <c r="D14" s="2"/>
      <c r="H14" s="2"/>
      <c r="I14" s="2"/>
      <c r="J14" s="2"/>
      <c r="K14" s="3"/>
      <c r="L14" s="3"/>
      <c r="M14" s="3"/>
      <c r="N14" s="49"/>
      <c r="O14" s="60"/>
      <c r="P14" s="53"/>
    </row>
    <row r="15" spans="2:17" ht="13.2" customHeight="1" x14ac:dyDescent="0.45">
      <c r="C15" s="8" t="s">
        <v>67</v>
      </c>
      <c r="G15" s="5"/>
      <c r="H15" s="6"/>
      <c r="I15" s="6"/>
      <c r="J15" s="7"/>
      <c r="K15" s="7"/>
      <c r="L15" s="3"/>
      <c r="M15" s="3"/>
      <c r="N15" s="49"/>
      <c r="O15" s="60"/>
      <c r="P15" s="53"/>
    </row>
    <row r="16" spans="2:17" ht="13.2" customHeight="1" x14ac:dyDescent="0.45">
      <c r="C16" s="67">
        <f ca="1">O16</f>
        <v>0.26593</v>
      </c>
      <c r="D16" s="5" t="s">
        <v>68</v>
      </c>
      <c r="I16" s="10"/>
      <c r="J16" s="11"/>
      <c r="K16" s="11"/>
      <c r="L16" s="12"/>
      <c r="M16" s="12"/>
      <c r="N16" s="49" t="s">
        <v>69</v>
      </c>
      <c r="O16" s="48">
        <f ca="1">VLOOKUP(N16,INDIRECT($O$5),2,0)*IncrPercMay2020*IncrPercMay2020v2</f>
        <v>0.26593</v>
      </c>
      <c r="P16" s="62" t="s">
        <v>102</v>
      </c>
      <c r="Q16" s="118">
        <f ca="1">O16*101%</f>
        <v>0.26858929999999998</v>
      </c>
    </row>
    <row r="17" spans="3:17" ht="13.2" customHeight="1" x14ac:dyDescent="0.45">
      <c r="C17" s="67">
        <f ca="1">O17</f>
        <v>0.36742999999999998</v>
      </c>
      <c r="D17" s="5" t="s">
        <v>70</v>
      </c>
      <c r="I17" s="10"/>
      <c r="J17" s="11"/>
      <c r="K17" s="11"/>
      <c r="L17" s="12"/>
      <c r="M17" s="12"/>
      <c r="N17" s="49" t="s">
        <v>71</v>
      </c>
      <c r="O17" s="48">
        <f ca="1">VLOOKUP(N17,INDIRECT($O$5),2,0)*IncrPercMay2020*IncrPercMay2020v2</f>
        <v>0.36742999999999998</v>
      </c>
      <c r="P17" s="62" t="s">
        <v>103</v>
      </c>
    </row>
    <row r="18" spans="3:17" ht="13.2" customHeight="1" x14ac:dyDescent="0.45">
      <c r="C18" s="67">
        <f ca="1">O18</f>
        <v>0.58565499999999993</v>
      </c>
      <c r="D18" s="5" t="s">
        <v>72</v>
      </c>
      <c r="I18" s="10"/>
      <c r="J18" s="11"/>
      <c r="K18" s="11"/>
      <c r="L18" s="12"/>
      <c r="M18" s="12"/>
      <c r="N18" s="49" t="s">
        <v>73</v>
      </c>
      <c r="O18" s="48">
        <f ca="1">VLOOKUP(N18,INDIRECT($O$5),2,0)*IncrPercMay2020*IncrPercMay2020v2</f>
        <v>0.58565499999999993</v>
      </c>
      <c r="P18" s="62" t="s">
        <v>104</v>
      </c>
    </row>
    <row r="19" spans="3:17" ht="13.2" customHeight="1" x14ac:dyDescent="0.45">
      <c r="C19" s="67">
        <f ca="1">O19</f>
        <v>0.87797499999999995</v>
      </c>
      <c r="D19" s="5" t="s">
        <v>74</v>
      </c>
      <c r="I19" s="10"/>
      <c r="J19" s="11"/>
      <c r="K19" s="11"/>
      <c r="L19" s="12"/>
      <c r="M19" s="12"/>
      <c r="N19" s="49" t="s">
        <v>75</v>
      </c>
      <c r="O19" s="48">
        <f ca="1">VLOOKUP(N19,INDIRECT($O$5),2,0)*IncrPercMay2020*IncrPercMay2020v2</f>
        <v>0.87797499999999995</v>
      </c>
      <c r="P19" s="62" t="s">
        <v>105</v>
      </c>
    </row>
    <row r="20" spans="3:17" ht="13.2" customHeight="1" x14ac:dyDescent="0.45"/>
    <row r="21" spans="3:17" ht="13.2" customHeight="1" x14ac:dyDescent="0.45">
      <c r="C21" s="1" t="s">
        <v>76</v>
      </c>
    </row>
    <row r="22" spans="3:17" ht="13.2" customHeight="1" x14ac:dyDescent="0.45">
      <c r="C22" s="46" t="str">
        <f ca="1">"Provided that a night shift differential of "&amp;TEXT(O22,"$#.000")&amp;" per hour for each hour, or fraction thereof, they"</f>
        <v>Provided that a night shift differential of $2.155 per hour for each hour, or fraction thereof, they</v>
      </c>
      <c r="G22" s="33"/>
      <c r="H22" s="19"/>
      <c r="N22" s="47" t="s">
        <v>79</v>
      </c>
      <c r="O22" s="48">
        <f ca="1">VLOOKUP(N22,INDIRECT($O$5),2,0)*IncrPercMay2020*IncrPercMay2020v2</f>
        <v>2.1550080361829682</v>
      </c>
      <c r="P22" s="62" t="s">
        <v>106</v>
      </c>
    </row>
    <row r="23" spans="3:17" ht="13.2" customHeight="1" x14ac:dyDescent="0.45">
      <c r="C23" s="46" t="s">
        <v>80</v>
      </c>
      <c r="N23" s="47" t="s">
        <v>81</v>
      </c>
      <c r="O23" s="61">
        <f ca="1">O22</f>
        <v>2.1550080361829682</v>
      </c>
      <c r="P23" s="62" t="s">
        <v>107</v>
      </c>
    </row>
    <row r="24" spans="3:17" ht="13.2" customHeight="1" x14ac:dyDescent="0.45">
      <c r="C24" s="46" t="s">
        <v>82</v>
      </c>
    </row>
    <row r="25" spans="3:17" ht="13.2" customHeight="1" x14ac:dyDescent="0.45">
      <c r="C25" s="46"/>
    </row>
    <row r="26" spans="3:17" ht="13.2" customHeight="1" x14ac:dyDescent="0.45">
      <c r="C26" s="46" t="str">
        <f ca="1">"Provided that a weekend shift differential of "&amp;TEXT(O26,"$#.000")&amp;" per hour shall be paid to employees who work"</f>
        <v>Provided that a weekend shift differential of $1.461 per hour shall be paid to employees who work</v>
      </c>
      <c r="G26" s="35"/>
      <c r="H26" s="19"/>
      <c r="N26" s="47" t="s">
        <v>85</v>
      </c>
      <c r="O26" s="48">
        <f ca="1">VLOOKUP(N26,INDIRECT($O$5),2,0)*IncrPercMay2020*IncrPercMay2020v2</f>
        <v>1.4612131898437497</v>
      </c>
      <c r="P26" s="62" t="s">
        <v>108</v>
      </c>
    </row>
    <row r="27" spans="3:17" ht="13.2" customHeight="1" x14ac:dyDescent="0.45">
      <c r="C27" s="46" t="s">
        <v>86</v>
      </c>
    </row>
    <row r="28" spans="3:17" ht="13.2" customHeight="1" x14ac:dyDescent="0.45">
      <c r="F28" s="19"/>
    </row>
    <row r="29" spans="3:17" ht="13.2" customHeight="1" x14ac:dyDescent="0.45">
      <c r="C29" s="68" t="str">
        <f>"Provided that a premium of "&amp;TEXT(O29,"$#.000")&amp;" per hour shall be paid to employees for hours worked while performing welding work."</f>
        <v>Provided that a premium of $1.000 per hour shall be paid to employees for hours worked while performing welding work.</v>
      </c>
      <c r="D29" s="3"/>
      <c r="N29" s="49" t="s">
        <v>136</v>
      </c>
      <c r="O29" s="71">
        <v>1</v>
      </c>
      <c r="P29" s="62" t="s">
        <v>137</v>
      </c>
    </row>
    <row r="30" spans="3:17" ht="13.2" customHeight="1" x14ac:dyDescent="0.45">
      <c r="C30" s="68"/>
      <c r="D30" s="3"/>
      <c r="N30" s="49"/>
      <c r="O30" s="60"/>
    </row>
    <row r="31" spans="3:17" s="12" customFormat="1" x14ac:dyDescent="0.45">
      <c r="C31" s="12" t="s">
        <v>109</v>
      </c>
      <c r="N31" s="49" t="s">
        <v>87</v>
      </c>
      <c r="O31" s="61">
        <f>ROUND(VLOOKUP(N31,Rates2018,2,0),3)</f>
        <v>35</v>
      </c>
      <c r="P31" s="62" t="s">
        <v>110</v>
      </c>
      <c r="Q31" s="54"/>
    </row>
    <row r="32" spans="3:17" s="12" customFormat="1" x14ac:dyDescent="0.45">
      <c r="C32" s="68" t="s">
        <v>111</v>
      </c>
      <c r="N32" s="49" t="s">
        <v>88</v>
      </c>
      <c r="O32" s="61">
        <f>ROUND(VLOOKUP(N32,Rates2018,2,0),3)</f>
        <v>45</v>
      </c>
      <c r="P32" s="62" t="s">
        <v>112</v>
      </c>
      <c r="Q32" s="54"/>
    </row>
    <row r="33" spans="2:17" s="3" customFormat="1" x14ac:dyDescent="0.45">
      <c r="C33" s="68" t="s">
        <v>113</v>
      </c>
      <c r="N33" s="49"/>
      <c r="O33" s="59"/>
      <c r="P33" s="53"/>
      <c r="Q33" s="53"/>
    </row>
    <row r="34" spans="2:17" s="3" customFormat="1" x14ac:dyDescent="0.45">
      <c r="C34" s="68" t="s">
        <v>114</v>
      </c>
      <c r="N34" s="49"/>
      <c r="O34" s="59"/>
      <c r="P34" s="53"/>
      <c r="Q34" s="53"/>
    </row>
    <row r="35" spans="2:17" s="3" customFormat="1" x14ac:dyDescent="0.45">
      <c r="C35" s="68" t="s">
        <v>115</v>
      </c>
      <c r="N35" s="49"/>
      <c r="O35" s="59"/>
      <c r="P35" s="53"/>
      <c r="Q35" s="53"/>
    </row>
    <row r="36" spans="2:17" s="3" customFormat="1" x14ac:dyDescent="0.45">
      <c r="N36" s="49"/>
      <c r="O36" s="59"/>
      <c r="P36" s="53"/>
      <c r="Q36" s="53"/>
    </row>
    <row r="37" spans="2:17" s="3" customFormat="1" x14ac:dyDescent="0.45">
      <c r="N37" s="49"/>
      <c r="O37" s="59"/>
      <c r="P37" s="53"/>
      <c r="Q37" s="53"/>
    </row>
    <row r="38" spans="2:17" s="3" customFormat="1" x14ac:dyDescent="0.45">
      <c r="N38" s="49"/>
      <c r="O38" s="59"/>
      <c r="P38" s="53"/>
      <c r="Q38" s="53"/>
    </row>
    <row r="39" spans="2:17" s="3" customFormat="1" x14ac:dyDescent="0.45">
      <c r="N39" s="49"/>
      <c r="O39" s="59"/>
      <c r="P39" s="53"/>
      <c r="Q39" s="53"/>
    </row>
    <row r="40" spans="2:17" s="3" customFormat="1" x14ac:dyDescent="0.45">
      <c r="N40" s="49"/>
      <c r="O40" s="59"/>
      <c r="P40" s="53"/>
      <c r="Q40" s="53"/>
    </row>
    <row r="41" spans="2:17" s="3" customFormat="1" x14ac:dyDescent="0.45">
      <c r="N41" s="49"/>
      <c r="O41" s="59"/>
      <c r="P41" s="53"/>
      <c r="Q41" s="53"/>
    </row>
    <row r="42" spans="2:17" s="3" customFormat="1" x14ac:dyDescent="0.45">
      <c r="N42" s="49"/>
      <c r="O42" s="59"/>
      <c r="P42" s="53"/>
      <c r="Q42" s="53"/>
    </row>
    <row r="43" spans="2:17" s="3" customFormat="1" x14ac:dyDescent="0.45">
      <c r="N43" s="49"/>
      <c r="O43" s="59"/>
      <c r="P43" s="53"/>
      <c r="Q43" s="53"/>
    </row>
    <row r="44" spans="2:17" s="3" customFormat="1" x14ac:dyDescent="0.45">
      <c r="B44" s="29"/>
      <c r="C44" s="14"/>
      <c r="D44" s="14"/>
      <c r="E44" s="15"/>
      <c r="F44" s="14"/>
      <c r="G44" s="14"/>
      <c r="H44" s="14"/>
      <c r="I44" s="14"/>
      <c r="J44" s="14"/>
      <c r="K44" s="14"/>
      <c r="L44" s="14"/>
      <c r="M44" s="14"/>
      <c r="N44" s="56"/>
      <c r="O44" s="59"/>
      <c r="P44" s="55"/>
      <c r="Q44" s="53"/>
    </row>
    <row r="45" spans="2:17" s="3" customFormat="1" x14ac:dyDescent="0.4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56"/>
      <c r="O45" s="59"/>
      <c r="P45" s="55"/>
      <c r="Q45" s="53"/>
    </row>
    <row r="46" spans="2:17" s="17" customFormat="1" x14ac:dyDescent="0.45">
      <c r="B46" s="14"/>
      <c r="C46" s="14"/>
      <c r="D46" s="14"/>
      <c r="E46" s="14"/>
      <c r="F46" s="14"/>
      <c r="G46" s="14"/>
      <c r="H46" s="14"/>
      <c r="I46" s="14"/>
      <c r="J46" s="16"/>
      <c r="K46" s="14"/>
      <c r="L46" s="14"/>
      <c r="M46" s="14"/>
      <c r="N46" s="56"/>
      <c r="O46" s="59"/>
      <c r="P46" s="56"/>
      <c r="Q46" s="49"/>
    </row>
    <row r="47" spans="2:17" s="3" customFormat="1" x14ac:dyDescent="0.45">
      <c r="B47" s="17"/>
      <c r="C47" s="17"/>
      <c r="D47" s="17"/>
      <c r="G47" s="17"/>
      <c r="H47" s="17"/>
      <c r="J47" s="16"/>
      <c r="K47" s="16"/>
      <c r="L47" s="16"/>
      <c r="N47" s="49"/>
      <c r="O47" s="59"/>
      <c r="P47" s="53"/>
      <c r="Q47" s="53"/>
    </row>
    <row r="48" spans="2:17" s="3" customFormat="1" x14ac:dyDescent="0.45">
      <c r="N48" s="49"/>
      <c r="O48" s="59"/>
      <c r="P48" s="53"/>
      <c r="Q48" s="53"/>
    </row>
    <row r="49" spans="14:17" s="3" customFormat="1" x14ac:dyDescent="0.45">
      <c r="N49" s="49"/>
      <c r="O49" s="59"/>
      <c r="P49" s="53"/>
      <c r="Q49" s="53"/>
    </row>
  </sheetData>
  <customSheetViews>
    <customSheetView guid="{1FE68E9A-AB75-4E2C-B18B-F89E0A523960}" scale="130" showGridLines="0" fitToPage="1" hiddenColumns="1">
      <selection activeCell="O1" sqref="O1:O1048576"/>
      <pageMargins left="0" right="0" top="0" bottom="0" header="0" footer="0"/>
      <pageSetup scale="94" fitToHeight="2" orientation="landscape" horizontalDpi="300" r:id="rId1"/>
      <headerFooter alignWithMargins="0"/>
    </customSheetView>
  </customSheetViews>
  <dataValidations count="1">
    <dataValidation type="list" allowBlank="1" showInputMessage="1" showErrorMessage="1" sqref="O5" xr:uid="{2D11CD63-2E0D-40D2-A9E9-C82D4F44402E}">
      <formula1>Schedules</formula1>
    </dataValidation>
  </dataValidations>
  <pageMargins left="0" right="0" top="1" bottom="0.5" header="0.5" footer="0.5"/>
  <pageSetup scale="94" fitToHeight="2" orientation="landscape" horizontalDpi="300" r:id="rId2"/>
  <headerFooter alignWithMargins="0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1387-12B3-4D90-9FF5-0BA51432D783}">
  <sheetPr>
    <pageSetUpPr fitToPage="1"/>
  </sheetPr>
  <dimension ref="A1:Y52"/>
  <sheetViews>
    <sheetView showGridLines="0" zoomScaleNormal="100" workbookViewId="0">
      <selection activeCell="AA11" sqref="AA11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70312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5.703125" style="25" bestFit="1" customWidth="1"/>
    <col min="9" max="9" width="4.7031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7.1171875" style="121" hidden="1" customWidth="1"/>
    <col min="15" max="15" width="12.29296875" style="121" hidden="1" customWidth="1"/>
    <col min="16" max="16" width="8.1171875" style="121" hidden="1" customWidth="1"/>
    <col min="17" max="18" width="15.87890625" style="121" hidden="1" customWidth="1"/>
    <col min="19" max="19" width="16.5859375" style="128" hidden="1" customWidth="1"/>
    <col min="20" max="20" width="0" style="124" hidden="1" customWidth="1"/>
    <col min="21" max="25" width="0" style="62" hidden="1" customWidth="1"/>
    <col min="26" max="16384" width="11.41015625" style="21"/>
  </cols>
  <sheetData>
    <row r="1" spans="1:25" x14ac:dyDescent="0.45">
      <c r="A1" s="21" t="s">
        <v>138</v>
      </c>
    </row>
    <row r="2" spans="1:25" x14ac:dyDescent="0.45">
      <c r="B2" s="72" t="s">
        <v>89</v>
      </c>
      <c r="N2" s="119" t="s">
        <v>139</v>
      </c>
      <c r="O2" s="120">
        <v>1.01</v>
      </c>
      <c r="P2" s="120"/>
      <c r="R2" s="122"/>
      <c r="S2" s="123"/>
    </row>
    <row r="3" spans="1:25" ht="13.2" customHeight="1" x14ac:dyDescent="0.45">
      <c r="B3" s="19" t="s">
        <v>140</v>
      </c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177" t="s">
        <v>141</v>
      </c>
      <c r="O3" s="124" t="s">
        <v>142</v>
      </c>
      <c r="P3" s="124"/>
      <c r="Q3" s="125"/>
      <c r="R3" s="126"/>
      <c r="S3" s="127"/>
    </row>
    <row r="4" spans="1:25" ht="13.2" customHeight="1" x14ac:dyDescent="0.45">
      <c r="B4" s="22" t="s">
        <v>143</v>
      </c>
      <c r="C4" s="18"/>
      <c r="D4" s="18"/>
      <c r="E4" s="18"/>
      <c r="F4" s="19"/>
      <c r="G4" s="18"/>
      <c r="H4" s="18"/>
      <c r="I4" s="18"/>
      <c r="J4" s="20"/>
      <c r="K4" s="20"/>
      <c r="L4" s="20"/>
      <c r="M4" s="20"/>
      <c r="N4" s="177"/>
      <c r="O4" s="124"/>
      <c r="P4" s="124"/>
      <c r="Q4" s="125"/>
      <c r="R4" s="126"/>
      <c r="S4" s="127"/>
    </row>
    <row r="5" spans="1:25" ht="13.2" customHeight="1" x14ac:dyDescent="0.45">
      <c r="B5" s="22" t="s">
        <v>144</v>
      </c>
      <c r="C5" s="18"/>
      <c r="D5" s="18"/>
      <c r="E5" s="18"/>
      <c r="F5" s="19"/>
      <c r="G5" s="18"/>
      <c r="H5" s="18"/>
      <c r="I5" s="18"/>
      <c r="J5" s="20"/>
      <c r="K5" s="20"/>
      <c r="L5" s="20"/>
      <c r="M5" s="20"/>
      <c r="N5" s="177"/>
      <c r="O5" s="124"/>
      <c r="P5" s="124"/>
      <c r="Q5" s="125"/>
      <c r="R5" s="126"/>
      <c r="S5" s="127"/>
    </row>
    <row r="6" spans="1:25" ht="13.2" customHeight="1" x14ac:dyDescent="0.45">
      <c r="B6" s="19"/>
      <c r="C6" s="18"/>
      <c r="D6" s="18"/>
      <c r="E6" s="18"/>
      <c r="F6" s="19"/>
      <c r="G6" s="18"/>
      <c r="H6" s="18"/>
      <c r="I6" s="18"/>
      <c r="J6" s="20"/>
      <c r="K6" s="20"/>
      <c r="L6" s="20"/>
      <c r="M6" s="20"/>
      <c r="Q6" s="125"/>
      <c r="R6" s="125"/>
    </row>
    <row r="7" spans="1:25" ht="13.2" customHeight="1" x14ac:dyDescent="0.45">
      <c r="B7" s="22"/>
      <c r="C7" s="18" t="s">
        <v>145</v>
      </c>
      <c r="D7" s="18"/>
      <c r="E7" s="18"/>
      <c r="F7" s="19"/>
      <c r="G7" s="18"/>
      <c r="H7" s="143" t="s">
        <v>146</v>
      </c>
      <c r="I7" s="18" t="s">
        <v>147</v>
      </c>
      <c r="J7" s="18" t="s">
        <v>42</v>
      </c>
      <c r="K7" s="20"/>
      <c r="L7" s="20"/>
      <c r="M7" s="20"/>
      <c r="N7" s="125" t="s">
        <v>148</v>
      </c>
      <c r="O7" s="126"/>
      <c r="P7" s="126"/>
      <c r="Q7" s="126"/>
      <c r="R7" s="126"/>
      <c r="S7" s="127"/>
      <c r="U7" s="62" t="s">
        <v>149</v>
      </c>
    </row>
    <row r="8" spans="1:25" ht="13.2" customHeight="1" x14ac:dyDescent="0.45">
      <c r="B8" s="36" t="s">
        <v>43</v>
      </c>
      <c r="C8" s="36" t="s">
        <v>150</v>
      </c>
      <c r="D8" s="36" t="s">
        <v>151</v>
      </c>
      <c r="E8" s="36" t="s">
        <v>152</v>
      </c>
      <c r="F8" s="37" t="s">
        <v>153</v>
      </c>
      <c r="G8" s="38" t="s">
        <v>47</v>
      </c>
      <c r="H8" s="39" t="s">
        <v>154</v>
      </c>
      <c r="I8" s="36" t="s">
        <v>155</v>
      </c>
      <c r="J8" s="36" t="s">
        <v>50</v>
      </c>
      <c r="K8" s="20"/>
      <c r="L8" s="20"/>
      <c r="M8" s="20"/>
      <c r="N8" s="136" t="s">
        <v>152</v>
      </c>
      <c r="O8" s="136" t="s">
        <v>156</v>
      </c>
      <c r="P8" s="136" t="s">
        <v>157</v>
      </c>
      <c r="Q8" s="137" t="s">
        <v>153</v>
      </c>
      <c r="R8" s="136"/>
      <c r="S8" s="138" t="s">
        <v>158</v>
      </c>
      <c r="T8" s="139" t="s">
        <v>159</v>
      </c>
      <c r="U8" s="140" t="s">
        <v>152</v>
      </c>
      <c r="V8" s="140" t="s">
        <v>156</v>
      </c>
      <c r="W8" s="140" t="s">
        <v>157</v>
      </c>
      <c r="X8" s="141" t="s">
        <v>153</v>
      </c>
      <c r="Y8" s="142" t="s">
        <v>158</v>
      </c>
    </row>
    <row r="9" spans="1:25" ht="13.2" customHeight="1" x14ac:dyDescent="0.45">
      <c r="G9" s="24"/>
      <c r="J9" s="25"/>
    </row>
    <row r="10" spans="1:25" ht="13.2" customHeight="1" x14ac:dyDescent="0.45">
      <c r="B10" s="25" t="s">
        <v>51</v>
      </c>
      <c r="C10" s="25">
        <v>2</v>
      </c>
      <c r="D10" s="42" t="s">
        <v>52</v>
      </c>
      <c r="E10" s="25" t="s">
        <v>53</v>
      </c>
      <c r="F10" s="22" t="s">
        <v>54</v>
      </c>
      <c r="G10" s="24">
        <v>300</v>
      </c>
      <c r="H10" s="25">
        <v>6</v>
      </c>
      <c r="I10" s="25" t="s">
        <v>55</v>
      </c>
      <c r="J10" s="67">
        <f ca="1">S10</f>
        <v>46.686722021305663</v>
      </c>
      <c r="K10" s="20"/>
      <c r="L10" s="31"/>
      <c r="M10" s="20"/>
      <c r="N10" s="125" t="str">
        <f>E10</f>
        <v>03860C</v>
      </c>
      <c r="O10" s="125" t="s">
        <v>160</v>
      </c>
      <c r="P10" s="125" t="str">
        <f>D10</f>
        <v>01</v>
      </c>
      <c r="Q10" s="177" t="str">
        <f>F10</f>
        <v>Electrician</v>
      </c>
      <c r="R10" s="125"/>
      <c r="S10" s="128" cm="1">
        <f t="array" aca="1" ref="S10" ca="1">IF(O10="Y",(((VLOOKUP(N10,INDIRECT($O$3),2,0)-0.07)*INDIRECT($N$2))+T10),VLOOKUP(N10,INDIRECT($O$3),2,0))</f>
        <v>46.686722021305663</v>
      </c>
      <c r="T10" s="135">
        <v>7.0000000000000007E-2</v>
      </c>
      <c r="U10" s="62" t="str">
        <f>N10</f>
        <v>03860C</v>
      </c>
      <c r="V10" s="62" t="str">
        <f>O10</f>
        <v>Y</v>
      </c>
      <c r="W10" s="62" t="str">
        <f>P10</f>
        <v>01</v>
      </c>
      <c r="X10" s="62" t="str">
        <f>Q10</f>
        <v>Electrician</v>
      </c>
      <c r="Y10" s="118">
        <f ca="1">ROUND(S10,3)</f>
        <v>46.686999999999998</v>
      </c>
    </row>
    <row r="11" spans="1:25" ht="13.2" customHeight="1" x14ac:dyDescent="0.45">
      <c r="B11" s="25" t="s">
        <v>51</v>
      </c>
      <c r="C11" s="25">
        <v>2</v>
      </c>
      <c r="D11" s="42" t="s">
        <v>56</v>
      </c>
      <c r="E11" s="25" t="s">
        <v>57</v>
      </c>
      <c r="F11" s="22" t="s">
        <v>58</v>
      </c>
      <c r="G11" s="24">
        <v>363</v>
      </c>
      <c r="H11" s="25">
        <v>8</v>
      </c>
      <c r="I11" s="25" t="s">
        <v>55</v>
      </c>
      <c r="J11" s="67">
        <f t="shared" ref="J11:J12" ca="1" si="0">S11</f>
        <v>49.520609999999998</v>
      </c>
      <c r="K11" s="20"/>
      <c r="L11" s="31"/>
      <c r="M11" s="20"/>
      <c r="N11" s="125" t="str">
        <f t="shared" ref="N11:N13" si="1">E11</f>
        <v>04600C</v>
      </c>
      <c r="O11" s="125" t="s">
        <v>160</v>
      </c>
      <c r="P11" s="125" t="str">
        <f t="shared" ref="P11:P14" si="2">D11</f>
        <v>02</v>
      </c>
      <c r="Q11" s="177" t="str">
        <f t="shared" ref="Q11:Q14" si="3">F11</f>
        <v>Foreman, Electrician</v>
      </c>
      <c r="R11" s="125"/>
      <c r="S11" s="128" cm="1">
        <f t="array" aca="1" ref="S11" ca="1">IF(O11="Y",(((VLOOKUP(N11,INDIRECT($O$3),2,0)-0.07)*INDIRECT($N$2))+T11),VLOOKUP(N11,INDIRECT($O$3),2,0))</f>
        <v>49.520609999999998</v>
      </c>
      <c r="T11" s="135">
        <v>7.0000000000000007E-2</v>
      </c>
      <c r="U11" s="62" t="str">
        <f t="shared" ref="U11:U14" si="4">N11</f>
        <v>04600C</v>
      </c>
      <c r="V11" s="62" t="str">
        <f t="shared" ref="V11:V14" si="5">O11</f>
        <v>Y</v>
      </c>
      <c r="W11" s="62" t="str">
        <f t="shared" ref="W11:W14" si="6">P11</f>
        <v>02</v>
      </c>
      <c r="X11" s="62" t="str">
        <f t="shared" ref="X11:X14" si="7">Q11</f>
        <v>Foreman, Electrician</v>
      </c>
      <c r="Y11" s="118">
        <f t="shared" ref="Y11:Y14" ca="1" si="8">ROUND(S11,3)</f>
        <v>49.521000000000001</v>
      </c>
    </row>
    <row r="12" spans="1:25" ht="13.2" customHeight="1" x14ac:dyDescent="0.45">
      <c r="B12" s="25" t="s">
        <v>51</v>
      </c>
      <c r="C12" s="25">
        <v>2</v>
      </c>
      <c r="D12" s="42" t="s">
        <v>59</v>
      </c>
      <c r="E12" s="25" t="s">
        <v>60</v>
      </c>
      <c r="F12" s="22" t="s">
        <v>61</v>
      </c>
      <c r="G12" s="24">
        <v>363</v>
      </c>
      <c r="H12" s="25">
        <v>8</v>
      </c>
      <c r="I12" s="25" t="s">
        <v>55</v>
      </c>
      <c r="J12" s="67">
        <f t="shared" ca="1" si="0"/>
        <v>50.937639999999995</v>
      </c>
      <c r="K12" s="20"/>
      <c r="L12" s="31"/>
      <c r="M12" s="20"/>
      <c r="N12" s="125" t="str">
        <f t="shared" si="1"/>
        <v>04605C</v>
      </c>
      <c r="O12" s="125" t="s">
        <v>160</v>
      </c>
      <c r="P12" s="125" t="str">
        <f t="shared" si="2"/>
        <v>03</v>
      </c>
      <c r="Q12" s="177" t="str">
        <f t="shared" si="3"/>
        <v xml:space="preserve">Foreman, (Master) Electrician </v>
      </c>
      <c r="R12" s="125"/>
      <c r="S12" s="128" cm="1">
        <f t="array" aca="1" ref="S12" ca="1">IF(O12="Y",(((VLOOKUP(N12,INDIRECT($O$3),2,0)-0.07)*INDIRECT($N$2))+T12),VLOOKUP(N12,INDIRECT($O$3),2,0))</f>
        <v>50.937639999999995</v>
      </c>
      <c r="T12" s="135">
        <v>7.0000000000000007E-2</v>
      </c>
      <c r="U12" s="62" t="str">
        <f t="shared" si="4"/>
        <v>04605C</v>
      </c>
      <c r="V12" s="62" t="str">
        <f t="shared" si="5"/>
        <v>Y</v>
      </c>
      <c r="W12" s="62" t="str">
        <f t="shared" si="6"/>
        <v>03</v>
      </c>
      <c r="X12" s="62" t="str">
        <f t="shared" si="7"/>
        <v xml:space="preserve">Foreman, (Master) Electrician </v>
      </c>
      <c r="Y12" s="118">
        <f t="shared" ca="1" si="8"/>
        <v>50.938000000000002</v>
      </c>
    </row>
    <row r="13" spans="1:25" ht="13.2" customHeight="1" x14ac:dyDescent="0.45">
      <c r="B13" s="25" t="s">
        <v>51</v>
      </c>
      <c r="C13" s="25">
        <v>2</v>
      </c>
      <c r="D13" s="42" t="s">
        <v>62</v>
      </c>
      <c r="E13" s="25" t="s">
        <v>63</v>
      </c>
      <c r="F13" s="22" t="s">
        <v>64</v>
      </c>
      <c r="G13" s="24">
        <v>475</v>
      </c>
      <c r="H13" s="25">
        <v>10</v>
      </c>
      <c r="I13" s="25" t="s">
        <v>55</v>
      </c>
      <c r="J13" s="67">
        <f ca="1">S13</f>
        <v>52.354670000000006</v>
      </c>
      <c r="K13" s="20"/>
      <c r="L13" s="31"/>
      <c r="M13" s="20"/>
      <c r="N13" s="125" t="str">
        <f t="shared" si="1"/>
        <v>05140C</v>
      </c>
      <c r="O13" s="125" t="s">
        <v>160</v>
      </c>
      <c r="P13" s="125" t="str">
        <f t="shared" si="2"/>
        <v>CSU N42</v>
      </c>
      <c r="Q13" s="177" t="str">
        <f t="shared" si="3"/>
        <v>*General Foreman, Electrician</v>
      </c>
      <c r="R13" s="125"/>
      <c r="S13" s="128" cm="1">
        <f t="array" aca="1" ref="S13" ca="1">IF(O13="Y",(((VLOOKUP(N13,INDIRECT($O$3),2,0)-0.07)*INDIRECT($N$2))+T13),VLOOKUP(N13,INDIRECT($O$3),2,0))</f>
        <v>52.354670000000006</v>
      </c>
      <c r="T13" s="135">
        <v>7.0000000000000007E-2</v>
      </c>
      <c r="U13" s="62" t="str">
        <f t="shared" si="4"/>
        <v>05140C</v>
      </c>
      <c r="V13" s="62" t="str">
        <f t="shared" si="5"/>
        <v>Y</v>
      </c>
      <c r="W13" s="62" t="str">
        <f t="shared" si="6"/>
        <v>CSU N42</v>
      </c>
      <c r="X13" s="62" t="str">
        <f t="shared" si="7"/>
        <v>*General Foreman, Electrician</v>
      </c>
      <c r="Y13" s="118">
        <f t="shared" ca="1" si="8"/>
        <v>52.354999999999997</v>
      </c>
    </row>
    <row r="14" spans="1:25" ht="13.2" customHeight="1" x14ac:dyDescent="0.45">
      <c r="B14" s="25" t="s">
        <v>51</v>
      </c>
      <c r="C14" s="25">
        <v>2</v>
      </c>
      <c r="D14" s="42" t="s">
        <v>62</v>
      </c>
      <c r="E14" s="25" t="s">
        <v>99</v>
      </c>
      <c r="F14" s="22" t="s">
        <v>100</v>
      </c>
      <c r="G14" s="24"/>
      <c r="H14" s="25">
        <v>10</v>
      </c>
      <c r="I14" s="25" t="s">
        <v>55</v>
      </c>
      <c r="J14" s="67">
        <f ca="1">S14</f>
        <v>52.354670000000006</v>
      </c>
      <c r="K14" s="20"/>
      <c r="L14" s="31"/>
      <c r="M14" s="20"/>
      <c r="N14" s="121" t="s">
        <v>99</v>
      </c>
      <c r="O14" s="121" t="s">
        <v>160</v>
      </c>
      <c r="P14" s="125" t="str">
        <f t="shared" si="2"/>
        <v>CSU N42</v>
      </c>
      <c r="Q14" s="177" t="str">
        <f t="shared" si="3"/>
        <v>*Supervisor Water Plant Electrical and Control Systems</v>
      </c>
      <c r="S14" s="128" cm="1">
        <f t="array" aca="1" ref="S14" ca="1">IF(O14="Y",(((VLOOKUP(N14,INDIRECT($O$3),2,0)-0.07)*INDIRECT($N$2))+T14),VLOOKUP(N14,INDIRECT($O$3),2,0))</f>
        <v>52.354670000000006</v>
      </c>
      <c r="T14" s="135">
        <v>7.0000000000000007E-2</v>
      </c>
      <c r="U14" s="62" t="str">
        <f t="shared" si="4"/>
        <v>10375C</v>
      </c>
      <c r="V14" s="62" t="str">
        <f t="shared" si="5"/>
        <v>Y</v>
      </c>
      <c r="W14" s="62" t="str">
        <f t="shared" si="6"/>
        <v>CSU N42</v>
      </c>
      <c r="X14" s="62" t="str">
        <f t="shared" si="7"/>
        <v>*Supervisor Water Plant Electrical and Control Systems</v>
      </c>
      <c r="Y14" s="118">
        <f t="shared" ca="1" si="8"/>
        <v>52.354999999999997</v>
      </c>
    </row>
    <row r="15" spans="1:25" ht="13.2" customHeight="1" x14ac:dyDescent="0.45">
      <c r="B15" s="25"/>
      <c r="C15" s="25"/>
      <c r="D15" s="42"/>
      <c r="E15" s="25"/>
      <c r="F15" s="22"/>
      <c r="G15" s="24"/>
      <c r="J15" s="67"/>
      <c r="K15" s="20"/>
      <c r="L15" s="31"/>
      <c r="M15" s="20"/>
      <c r="N15" s="125"/>
      <c r="O15" s="125"/>
      <c r="P15" s="125"/>
      <c r="Q15" s="125"/>
      <c r="R15" s="125"/>
    </row>
    <row r="16" spans="1:25" ht="13.2" customHeight="1" x14ac:dyDescent="0.45">
      <c r="B16" s="18"/>
      <c r="C16" s="18"/>
      <c r="D16" s="32"/>
      <c r="E16" s="18"/>
      <c r="F16" s="22" t="s">
        <v>101</v>
      </c>
      <c r="G16" s="23"/>
      <c r="H16" s="18"/>
      <c r="I16" s="18"/>
      <c r="J16" s="30"/>
      <c r="K16" s="20"/>
      <c r="L16" s="31"/>
      <c r="M16" s="20"/>
      <c r="N16" s="125"/>
      <c r="O16" s="125"/>
      <c r="P16" s="125"/>
      <c r="Q16" s="125"/>
      <c r="R16" s="125"/>
    </row>
    <row r="17" spans="3:25" ht="13.2" customHeight="1" x14ac:dyDescent="0.45">
      <c r="C17" s="1" t="s">
        <v>66</v>
      </c>
      <c r="D17" s="2"/>
      <c r="H17" s="2"/>
      <c r="I17" s="2"/>
      <c r="J17" s="2"/>
      <c r="K17" s="3"/>
      <c r="L17" s="3"/>
      <c r="M17" s="3"/>
      <c r="N17" s="129"/>
      <c r="O17" s="129"/>
      <c r="P17" s="129"/>
      <c r="Q17" s="129"/>
      <c r="R17" s="129"/>
      <c r="S17" s="130"/>
    </row>
    <row r="18" spans="3:25" ht="13.2" customHeight="1" x14ac:dyDescent="0.45">
      <c r="C18" s="8" t="s">
        <v>67</v>
      </c>
      <c r="G18" s="5"/>
      <c r="H18" s="6"/>
      <c r="I18" s="6"/>
      <c r="J18" s="7"/>
      <c r="K18" s="7"/>
      <c r="L18" s="3"/>
      <c r="M18" s="3"/>
      <c r="N18" s="129"/>
      <c r="O18" s="129"/>
      <c r="P18" s="129"/>
      <c r="Q18" s="129"/>
      <c r="R18" s="129"/>
      <c r="S18" s="130"/>
    </row>
    <row r="19" spans="3:25" ht="13.2" customHeight="1" x14ac:dyDescent="0.45">
      <c r="C19" s="144">
        <f ca="1">S19</f>
        <v>0.26858929999999998</v>
      </c>
      <c r="D19" s="5" t="s">
        <v>68</v>
      </c>
      <c r="I19" s="10"/>
      <c r="J19" s="11"/>
      <c r="K19" s="11"/>
      <c r="L19" s="12"/>
      <c r="M19" s="12"/>
      <c r="N19" s="129" t="s">
        <v>69</v>
      </c>
      <c r="O19" s="129" t="s">
        <v>160</v>
      </c>
      <c r="P19" s="129"/>
      <c r="Q19" s="124" t="s">
        <v>102</v>
      </c>
      <c r="R19" s="129"/>
      <c r="S19" s="128" cm="1">
        <f t="array" aca="1" ref="S19" ca="1">IF(O19="Y",VLOOKUP(N19,INDIRECT($O$3),2,0)*INDIRECT($N$2),VLOOKUP(N19,INDIRECT($O$3),2,0))</f>
        <v>0.26858929999999998</v>
      </c>
      <c r="U19" s="62" t="str">
        <f t="shared" ref="U19:U22" si="9">N19</f>
        <v>LNG10</v>
      </c>
      <c r="V19" s="62" t="str">
        <f t="shared" ref="V19:V22" si="10">O19</f>
        <v>Y</v>
      </c>
      <c r="W19" s="62">
        <f t="shared" ref="W19:W22" si="11">P19</f>
        <v>0</v>
      </c>
      <c r="X19" s="62" t="str">
        <f t="shared" ref="X19:X22" si="12">Q19</f>
        <v>Longevity - 10 years</v>
      </c>
      <c r="Y19" s="118">
        <f t="shared" ref="Y19:Y22" ca="1" si="13">ROUND(S19,3)</f>
        <v>0.26900000000000002</v>
      </c>
    </row>
    <row r="20" spans="3:25" ht="13.2" customHeight="1" x14ac:dyDescent="0.45">
      <c r="C20" s="144">
        <f ca="1">S20</f>
        <v>0.3711043</v>
      </c>
      <c r="D20" s="5" t="s">
        <v>70</v>
      </c>
      <c r="I20" s="10"/>
      <c r="J20" s="11"/>
      <c r="K20" s="11"/>
      <c r="L20" s="12"/>
      <c r="M20" s="12"/>
      <c r="N20" s="129" t="s">
        <v>71</v>
      </c>
      <c r="O20" s="129" t="s">
        <v>160</v>
      </c>
      <c r="P20" s="129"/>
      <c r="Q20" s="124" t="s">
        <v>103</v>
      </c>
      <c r="R20" s="129"/>
      <c r="S20" s="128" cm="1">
        <f t="array" aca="1" ref="S20" ca="1">IF(O20="Y",VLOOKUP(N20,INDIRECT($O$3),2,0)*INDIRECT($N$2),VLOOKUP(N20,INDIRECT($O$3),2,0))</f>
        <v>0.3711043</v>
      </c>
      <c r="U20" s="62" t="str">
        <f t="shared" si="9"/>
        <v>LNG15</v>
      </c>
      <c r="V20" s="62" t="str">
        <f t="shared" si="10"/>
        <v>Y</v>
      </c>
      <c r="W20" s="62">
        <f t="shared" si="11"/>
        <v>0</v>
      </c>
      <c r="X20" s="62" t="str">
        <f t="shared" si="12"/>
        <v>Longevity - 15 years</v>
      </c>
      <c r="Y20" s="118">
        <f t="shared" ca="1" si="13"/>
        <v>0.371</v>
      </c>
    </row>
    <row r="21" spans="3:25" ht="13.2" customHeight="1" x14ac:dyDescent="0.45">
      <c r="C21" s="144">
        <f ca="1">S21</f>
        <v>0.59151154999999989</v>
      </c>
      <c r="D21" s="5" t="s">
        <v>72</v>
      </c>
      <c r="I21" s="10"/>
      <c r="J21" s="11"/>
      <c r="K21" s="11"/>
      <c r="L21" s="12"/>
      <c r="M21" s="12"/>
      <c r="N21" s="129" t="s">
        <v>73</v>
      </c>
      <c r="O21" s="129" t="s">
        <v>160</v>
      </c>
      <c r="P21" s="129"/>
      <c r="Q21" s="124" t="s">
        <v>104</v>
      </c>
      <c r="R21" s="129"/>
      <c r="S21" s="128" cm="1">
        <f t="array" aca="1" ref="S21" ca="1">IF(O21="Y",VLOOKUP(N21,INDIRECT($O$3),2,0)*INDIRECT($N$2),VLOOKUP(N21,INDIRECT($O$3),2,0))</f>
        <v>0.59151154999999989</v>
      </c>
      <c r="U21" s="62" t="str">
        <f t="shared" si="9"/>
        <v>LNG20</v>
      </c>
      <c r="V21" s="62" t="str">
        <f t="shared" si="10"/>
        <v>Y</v>
      </c>
      <c r="W21" s="62">
        <f t="shared" si="11"/>
        <v>0</v>
      </c>
      <c r="X21" s="62" t="str">
        <f t="shared" si="12"/>
        <v>Longevity - 20 years</v>
      </c>
      <c r="Y21" s="118">
        <f t="shared" ca="1" si="13"/>
        <v>0.59199999999999997</v>
      </c>
    </row>
    <row r="22" spans="3:25" ht="13.2" customHeight="1" x14ac:dyDescent="0.45">
      <c r="C22" s="144">
        <f ca="1">S22</f>
        <v>0.88675474999999992</v>
      </c>
      <c r="D22" s="5" t="s">
        <v>74</v>
      </c>
      <c r="I22" s="10"/>
      <c r="J22" s="11"/>
      <c r="K22" s="11"/>
      <c r="L22" s="12"/>
      <c r="M22" s="12"/>
      <c r="N22" s="129" t="s">
        <v>75</v>
      </c>
      <c r="O22" s="129" t="s">
        <v>160</v>
      </c>
      <c r="P22" s="129"/>
      <c r="Q22" s="124" t="s">
        <v>105</v>
      </c>
      <c r="R22" s="129"/>
      <c r="S22" s="128" cm="1">
        <f t="array" aca="1" ref="S22" ca="1">IF(O22="Y",VLOOKUP(N22,INDIRECT($O$3),2,0)*INDIRECT($N$2),VLOOKUP(N22,INDIRECT($O$3),2,0))</f>
        <v>0.88675474999999992</v>
      </c>
      <c r="U22" s="62" t="str">
        <f t="shared" si="9"/>
        <v>LNG25</v>
      </c>
      <c r="V22" s="62" t="str">
        <f t="shared" si="10"/>
        <v>Y</v>
      </c>
      <c r="W22" s="62">
        <f t="shared" si="11"/>
        <v>0</v>
      </c>
      <c r="X22" s="62" t="str">
        <f t="shared" si="12"/>
        <v>Longevity - 25 years</v>
      </c>
      <c r="Y22" s="118">
        <f t="shared" ca="1" si="13"/>
        <v>0.88700000000000001</v>
      </c>
    </row>
    <row r="23" spans="3:25" ht="13.2" customHeight="1" x14ac:dyDescent="0.45"/>
    <row r="24" spans="3:25" ht="13.2" customHeight="1" x14ac:dyDescent="0.45">
      <c r="C24" s="1" t="s">
        <v>76</v>
      </c>
    </row>
    <row r="25" spans="3:25" ht="13.2" customHeight="1" x14ac:dyDescent="0.45">
      <c r="C25" s="46" t="str">
        <f ca="1">"Provided that a night shift differential of "&amp;TEXT(S25,"$#.000")&amp;" per hour for each hour, or fraction thereof, they"</f>
        <v>Provided that a night shift differential of $2.177 per hour for each hour, or fraction thereof, they</v>
      </c>
      <c r="G25" s="33"/>
      <c r="H25" s="19"/>
      <c r="N25" s="121" t="s">
        <v>79</v>
      </c>
      <c r="O25" s="129" t="s">
        <v>160</v>
      </c>
      <c r="P25" s="129"/>
      <c r="Q25" s="124" t="s">
        <v>106</v>
      </c>
      <c r="S25" s="128" cm="1">
        <f t="array" aca="1" ref="S25" ca="1">IF(O25="Y",VLOOKUP(N25,INDIRECT($O$3),2,0)*INDIRECT($N$2),VLOOKUP(N25,INDIRECT($O$3),2,0))</f>
        <v>2.1765581165447978</v>
      </c>
      <c r="U25" s="62" t="str">
        <f t="shared" ref="U25:U26" si="14">N25</f>
        <v>CELEVE</v>
      </c>
      <c r="V25" s="62" t="str">
        <f t="shared" ref="V25:V26" si="15">O25</f>
        <v>Y</v>
      </c>
      <c r="W25" s="62">
        <f t="shared" ref="W25:W26" si="16">P25</f>
        <v>0</v>
      </c>
      <c r="X25" s="62" t="str">
        <f t="shared" ref="X25:X26" si="17">Q25</f>
        <v>TL-Evening Shift Premium-CEL</v>
      </c>
      <c r="Y25" s="118">
        <f t="shared" ref="Y25:Y26" ca="1" si="18">ROUND(S25,3)</f>
        <v>2.177</v>
      </c>
    </row>
    <row r="26" spans="3:25" ht="13.2" customHeight="1" x14ac:dyDescent="0.45">
      <c r="C26" s="46" t="s">
        <v>80</v>
      </c>
      <c r="N26" s="121" t="s">
        <v>81</v>
      </c>
      <c r="O26" s="129" t="s">
        <v>160</v>
      </c>
      <c r="P26" s="129"/>
      <c r="Q26" s="124" t="s">
        <v>107</v>
      </c>
      <c r="S26" s="128" cm="1">
        <f t="array" aca="1" ref="S26" ca="1">IF(O26="Y",VLOOKUP(N26,INDIRECT($O$3),2,0)*INDIRECT($N$2),VLOOKUP(N26,INDIRECT($O$3),2,0))</f>
        <v>2.1765581165447978</v>
      </c>
      <c r="U26" s="62" t="str">
        <f t="shared" si="14"/>
        <v>CELSGT</v>
      </c>
      <c r="V26" s="62" t="str">
        <f t="shared" si="15"/>
        <v>Y</v>
      </c>
      <c r="W26" s="62">
        <f t="shared" si="16"/>
        <v>0</v>
      </c>
      <c r="X26" s="62" t="str">
        <f t="shared" si="17"/>
        <v>TL-Signal Truck Premium-CEL</v>
      </c>
      <c r="Y26" s="118">
        <f t="shared" ca="1" si="18"/>
        <v>2.177</v>
      </c>
    </row>
    <row r="27" spans="3:25" ht="13.2" customHeight="1" x14ac:dyDescent="0.45">
      <c r="C27" s="46" t="s">
        <v>82</v>
      </c>
    </row>
    <row r="28" spans="3:25" ht="13.2" customHeight="1" x14ac:dyDescent="0.45">
      <c r="C28" s="46"/>
    </row>
    <row r="29" spans="3:25" ht="13.2" customHeight="1" x14ac:dyDescent="0.45">
      <c r="C29" s="46" t="str">
        <f ca="1">"Provided that a weekend shift differential of "&amp;TEXT(S29,"$#.000")&amp;" per hour shall be paid to employees who work"</f>
        <v>Provided that a weekend shift differential of $1.476 per hour shall be paid to employees who work</v>
      </c>
      <c r="G29" s="35"/>
      <c r="H29" s="19"/>
      <c r="N29" s="121" t="s">
        <v>85</v>
      </c>
      <c r="O29" s="129" t="s">
        <v>160</v>
      </c>
      <c r="P29" s="129"/>
      <c r="Q29" s="124" t="s">
        <v>108</v>
      </c>
      <c r="S29" s="128" cm="1">
        <f t="array" aca="1" ref="S29" ca="1">IF(O29="Y",VLOOKUP(N29,INDIRECT($O$3),2,0)*INDIRECT($N$2),VLOOKUP(N29,INDIRECT($O$3),2,0))</f>
        <v>1.4758253217421873</v>
      </c>
      <c r="U29" s="62" t="str">
        <f t="shared" ref="U29" si="19">N29</f>
        <v>CELWKE</v>
      </c>
      <c r="V29" s="62" t="str">
        <f t="shared" ref="V29" si="20">O29</f>
        <v>Y</v>
      </c>
      <c r="W29" s="62">
        <f t="shared" ref="W29" si="21">P29</f>
        <v>0</v>
      </c>
      <c r="X29" s="62" t="str">
        <f t="shared" ref="X29" si="22">Q29</f>
        <v>TL-Wkend Shift dif CEL</v>
      </c>
      <c r="Y29" s="118">
        <f t="shared" ref="Y29" ca="1" si="23">ROUND(S29,3)</f>
        <v>1.476</v>
      </c>
    </row>
    <row r="30" spans="3:25" ht="13.2" customHeight="1" x14ac:dyDescent="0.45">
      <c r="C30" s="46" t="s">
        <v>86</v>
      </c>
    </row>
    <row r="31" spans="3:25" ht="13.2" customHeight="1" x14ac:dyDescent="0.45">
      <c r="F31" s="19"/>
    </row>
    <row r="32" spans="3:25" ht="13.2" customHeight="1" x14ac:dyDescent="0.45">
      <c r="C32" s="68" t="str">
        <f ca="1">"Provided that a premium of "&amp;TEXT(S32,"$#.000")&amp;" per hour shall be paid to employees for hours worked while performing welding work."</f>
        <v>Provided that a premium of $1.010 per hour shall be paid to employees for hours worked while performing welding work.</v>
      </c>
      <c r="D32" s="3"/>
      <c r="N32" s="129" t="s">
        <v>136</v>
      </c>
      <c r="O32" s="129" t="s">
        <v>160</v>
      </c>
      <c r="P32" s="129"/>
      <c r="Q32" s="124" t="s">
        <v>137</v>
      </c>
      <c r="R32" s="129"/>
      <c r="S32" s="128" cm="1">
        <f t="array" aca="1" ref="S32" ca="1">IF(O32="Y",VLOOKUP(N32,INDIRECT($O$3),2,0)*INDIRECT($N$2),VLOOKUP(N32,INDIRECT($O$3),2,0))</f>
        <v>1.01</v>
      </c>
      <c r="U32" s="62" t="str">
        <f t="shared" ref="U32" si="24">N32</f>
        <v>CELWLD</v>
      </c>
      <c r="V32" s="62" t="str">
        <f t="shared" ref="V32" si="25">O32</f>
        <v>Y</v>
      </c>
      <c r="W32" s="62">
        <f t="shared" ref="W32" si="26">P32</f>
        <v>0</v>
      </c>
      <c r="X32" s="62" t="str">
        <f t="shared" ref="X32" si="27">Q32</f>
        <v>Welding premium - add to COMET</v>
      </c>
      <c r="Y32" s="118">
        <f t="shared" ref="Y32" ca="1" si="28">ROUND(S32,3)</f>
        <v>1.01</v>
      </c>
    </row>
    <row r="33" spans="1:25" ht="13.2" customHeight="1" x14ac:dyDescent="0.45">
      <c r="C33" s="68"/>
      <c r="D33" s="3"/>
      <c r="N33" s="129"/>
      <c r="O33" s="129"/>
      <c r="P33" s="129"/>
      <c r="Q33" s="129"/>
      <c r="R33" s="129"/>
      <c r="S33" s="130"/>
    </row>
    <row r="34" spans="1:25" s="12" customFormat="1" x14ac:dyDescent="0.45">
      <c r="C34" s="12" t="s">
        <v>109</v>
      </c>
      <c r="N34" s="129" t="s">
        <v>87</v>
      </c>
      <c r="O34" s="129" t="s">
        <v>51</v>
      </c>
      <c r="P34" s="129"/>
      <c r="Q34" s="124" t="s">
        <v>110</v>
      </c>
      <c r="R34" s="129"/>
      <c r="S34" s="128">
        <f>ROUND(VLOOKUP(N34,Rates2018,2,0),3)</f>
        <v>35</v>
      </c>
      <c r="T34" s="133"/>
      <c r="U34" s="62" t="str">
        <f t="shared" ref="U34:U35" si="29">N34</f>
        <v>CELCDY</v>
      </c>
      <c r="V34" s="62" t="str">
        <f t="shared" ref="V34:V35" si="30">O34</f>
        <v>N</v>
      </c>
      <c r="W34" s="62">
        <f t="shared" ref="W34:W35" si="31">P34</f>
        <v>0</v>
      </c>
      <c r="X34" s="62" t="str">
        <f t="shared" ref="X34:X35" si="32">Q34</f>
        <v>TL-On call by the day-CEL</v>
      </c>
      <c r="Y34" s="118">
        <f t="shared" ref="Y34:Y35" si="33">S34</f>
        <v>35</v>
      </c>
    </row>
    <row r="35" spans="1:25" s="12" customFormat="1" x14ac:dyDescent="0.45">
      <c r="C35" s="68" t="s">
        <v>111</v>
      </c>
      <c r="N35" s="129" t="s">
        <v>88</v>
      </c>
      <c r="O35" s="129" t="s">
        <v>51</v>
      </c>
      <c r="P35" s="129"/>
      <c r="Q35" s="124" t="s">
        <v>112</v>
      </c>
      <c r="R35" s="129"/>
      <c r="S35" s="128">
        <f>ROUND(VLOOKUP(N35,Rates2018,2,0),3)</f>
        <v>45</v>
      </c>
      <c r="T35" s="133"/>
      <c r="U35" s="62" t="str">
        <f t="shared" si="29"/>
        <v>CELCWE</v>
      </c>
      <c r="V35" s="62" t="str">
        <f t="shared" si="30"/>
        <v>N</v>
      </c>
      <c r="W35" s="62">
        <f t="shared" si="31"/>
        <v>0</v>
      </c>
      <c r="X35" s="62" t="str">
        <f t="shared" si="32"/>
        <v>TL-On call by day Weekend-CEL</v>
      </c>
      <c r="Y35" s="118">
        <f t="shared" si="33"/>
        <v>45</v>
      </c>
    </row>
    <row r="36" spans="1:25" s="3" customFormat="1" x14ac:dyDescent="0.45">
      <c r="C36" s="68" t="s">
        <v>113</v>
      </c>
      <c r="N36" s="129"/>
      <c r="O36" s="129"/>
      <c r="P36" s="129"/>
      <c r="Q36" s="129"/>
      <c r="R36" s="129"/>
      <c r="S36" s="131"/>
      <c r="T36" s="134"/>
      <c r="U36" s="53"/>
      <c r="V36" s="53"/>
      <c r="W36" s="53"/>
      <c r="X36" s="53"/>
      <c r="Y36" s="53"/>
    </row>
    <row r="37" spans="1:25" s="3" customFormat="1" x14ac:dyDescent="0.45">
      <c r="C37" s="68" t="s">
        <v>114</v>
      </c>
      <c r="N37" s="129"/>
      <c r="O37" s="129"/>
      <c r="P37" s="129"/>
      <c r="Q37" s="129"/>
      <c r="R37" s="129"/>
      <c r="S37" s="131"/>
      <c r="T37" s="134"/>
      <c r="U37" s="53"/>
      <c r="V37" s="53"/>
      <c r="W37" s="53"/>
      <c r="X37" s="53"/>
      <c r="Y37" s="53"/>
    </row>
    <row r="38" spans="1:25" s="3" customFormat="1" x14ac:dyDescent="0.45">
      <c r="C38" s="68" t="s">
        <v>115</v>
      </c>
      <c r="N38" s="129"/>
      <c r="O38" s="129"/>
      <c r="P38" s="129"/>
      <c r="Q38" s="129"/>
      <c r="R38" s="129"/>
      <c r="S38" s="131"/>
      <c r="T38" s="134"/>
      <c r="U38" s="53"/>
      <c r="V38" s="53"/>
      <c r="W38" s="53"/>
      <c r="X38" s="53"/>
      <c r="Y38" s="53"/>
    </row>
    <row r="39" spans="1:25" s="3" customFormat="1" x14ac:dyDescent="0.45">
      <c r="N39" s="129"/>
      <c r="O39" s="129"/>
      <c r="P39" s="129"/>
      <c r="Q39" s="129"/>
      <c r="R39" s="129"/>
      <c r="S39" s="131"/>
      <c r="T39" s="134"/>
      <c r="U39" s="53"/>
      <c r="V39" s="53"/>
      <c r="W39" s="53"/>
      <c r="X39" s="53"/>
      <c r="Y39" s="53"/>
    </row>
    <row r="40" spans="1:25" s="3" customFormat="1" x14ac:dyDescent="0.45">
      <c r="N40" s="129"/>
      <c r="O40" s="129"/>
      <c r="P40" s="129"/>
      <c r="Q40" s="129"/>
      <c r="R40" s="129"/>
      <c r="S40" s="131"/>
      <c r="T40" s="134"/>
      <c r="U40" s="53"/>
      <c r="V40" s="53"/>
      <c r="W40" s="53"/>
      <c r="X40" s="53"/>
      <c r="Y40" s="53"/>
    </row>
    <row r="41" spans="1:25" s="3" customFormat="1" x14ac:dyDescent="0.45">
      <c r="N41" s="129"/>
      <c r="O41" s="129"/>
      <c r="P41" s="129"/>
      <c r="Q41" s="129"/>
      <c r="R41" s="129"/>
      <c r="S41" s="131"/>
      <c r="T41" s="134"/>
      <c r="U41" s="53"/>
      <c r="V41" s="53"/>
      <c r="W41" s="53"/>
      <c r="X41" s="53"/>
      <c r="Y41" s="53"/>
    </row>
    <row r="42" spans="1:25" s="3" customFormat="1" x14ac:dyDescent="0.45">
      <c r="A42" s="3" t="s">
        <v>161</v>
      </c>
      <c r="J42" s="3" t="s">
        <v>162</v>
      </c>
      <c r="N42" s="129"/>
      <c r="O42" s="129"/>
      <c r="P42" s="129"/>
      <c r="Q42" s="129"/>
      <c r="R42" s="129"/>
      <c r="S42" s="131"/>
      <c r="T42" s="134"/>
      <c r="U42" s="53"/>
      <c r="V42" s="53"/>
      <c r="W42" s="53"/>
      <c r="X42" s="53"/>
      <c r="Y42" s="53"/>
    </row>
    <row r="43" spans="1:25" s="3" customFormat="1" x14ac:dyDescent="0.45">
      <c r="N43" s="129"/>
      <c r="O43" s="129"/>
      <c r="P43" s="129"/>
      <c r="Q43" s="129"/>
      <c r="R43" s="129"/>
      <c r="S43" s="131"/>
      <c r="T43" s="134"/>
      <c r="U43" s="53"/>
      <c r="V43" s="53"/>
      <c r="W43" s="53"/>
      <c r="X43" s="53"/>
      <c r="Y43" s="53"/>
    </row>
    <row r="44" spans="1:25" s="3" customFormat="1" x14ac:dyDescent="0.45">
      <c r="N44" s="129"/>
      <c r="O44" s="129"/>
      <c r="P44" s="129"/>
      <c r="Q44" s="129"/>
      <c r="R44" s="129"/>
      <c r="S44" s="131"/>
      <c r="T44" s="134"/>
      <c r="U44" s="53"/>
      <c r="V44" s="53"/>
      <c r="W44" s="53"/>
      <c r="X44" s="53"/>
      <c r="Y44" s="53"/>
    </row>
    <row r="45" spans="1:25" s="3" customFormat="1" x14ac:dyDescent="0.45">
      <c r="N45" s="129"/>
      <c r="O45" s="129"/>
      <c r="P45" s="129"/>
      <c r="Q45" s="129"/>
      <c r="R45" s="129"/>
      <c r="S45" s="131"/>
      <c r="T45" s="134"/>
      <c r="U45" s="53"/>
      <c r="V45" s="53"/>
      <c r="W45" s="53"/>
      <c r="X45" s="53"/>
      <c r="Y45" s="53"/>
    </row>
    <row r="46" spans="1:25" s="3" customFormat="1" x14ac:dyDescent="0.45">
      <c r="N46" s="129"/>
      <c r="O46" s="129"/>
      <c r="P46" s="129"/>
      <c r="Q46" s="129"/>
      <c r="R46" s="129"/>
      <c r="S46" s="131"/>
      <c r="T46" s="134"/>
      <c r="U46" s="53"/>
      <c r="V46" s="53"/>
      <c r="W46" s="53"/>
      <c r="X46" s="53"/>
      <c r="Y46" s="53"/>
    </row>
    <row r="47" spans="1:25" s="3" customFormat="1" x14ac:dyDescent="0.45">
      <c r="B47" s="29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32"/>
      <c r="O47" s="132"/>
      <c r="P47" s="132"/>
      <c r="Q47" s="132"/>
      <c r="R47" s="132"/>
      <c r="S47" s="131"/>
      <c r="T47" s="134"/>
      <c r="U47" s="53"/>
      <c r="V47" s="53"/>
      <c r="W47" s="53"/>
      <c r="X47" s="53"/>
      <c r="Y47" s="53"/>
    </row>
    <row r="48" spans="1:25" s="3" customFormat="1" x14ac:dyDescent="0.4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2"/>
      <c r="O48" s="132"/>
      <c r="P48" s="132"/>
      <c r="Q48" s="132"/>
      <c r="R48" s="132"/>
      <c r="S48" s="131"/>
      <c r="T48" s="134"/>
      <c r="U48" s="53"/>
      <c r="V48" s="53"/>
      <c r="W48" s="53"/>
      <c r="X48" s="53"/>
      <c r="Y48" s="53"/>
    </row>
    <row r="49" spans="2:25" s="17" customFormat="1" x14ac:dyDescent="0.45">
      <c r="B49" s="14"/>
      <c r="C49" s="14"/>
      <c r="D49" s="14"/>
      <c r="E49" s="14"/>
      <c r="F49" s="14"/>
      <c r="G49" s="14"/>
      <c r="H49" s="14"/>
      <c r="I49" s="14"/>
      <c r="J49" s="16"/>
      <c r="K49" s="14"/>
      <c r="L49" s="14"/>
      <c r="M49" s="14"/>
      <c r="N49" s="132"/>
      <c r="O49" s="132"/>
      <c r="P49" s="132"/>
      <c r="Q49" s="132"/>
      <c r="R49" s="132"/>
      <c r="S49" s="131"/>
      <c r="T49" s="129"/>
      <c r="U49" s="49"/>
      <c r="V49" s="49"/>
      <c r="W49" s="49"/>
      <c r="X49" s="49"/>
      <c r="Y49" s="49"/>
    </row>
    <row r="50" spans="2:25" s="3" customFormat="1" x14ac:dyDescent="0.45">
      <c r="B50" s="17"/>
      <c r="C50" s="17"/>
      <c r="D50" s="17"/>
      <c r="G50" s="17"/>
      <c r="H50" s="17"/>
      <c r="J50" s="16"/>
      <c r="K50" s="16"/>
      <c r="L50" s="16"/>
      <c r="N50" s="129"/>
      <c r="O50" s="129"/>
      <c r="P50" s="129"/>
      <c r="Q50" s="129"/>
      <c r="R50" s="129"/>
      <c r="S50" s="131"/>
      <c r="T50" s="134"/>
      <c r="U50" s="53"/>
      <c r="V50" s="53"/>
      <c r="W50" s="53"/>
      <c r="X50" s="53"/>
      <c r="Y50" s="53"/>
    </row>
    <row r="51" spans="2:25" s="3" customFormat="1" x14ac:dyDescent="0.45">
      <c r="N51" s="129"/>
      <c r="O51" s="129"/>
      <c r="P51" s="129"/>
      <c r="Q51" s="129"/>
      <c r="R51" s="129"/>
      <c r="S51" s="131"/>
      <c r="T51" s="134"/>
      <c r="U51" s="53"/>
      <c r="V51" s="53"/>
      <c r="W51" s="53"/>
      <c r="X51" s="53"/>
      <c r="Y51" s="53"/>
    </row>
    <row r="52" spans="2:25" s="3" customFormat="1" x14ac:dyDescent="0.45">
      <c r="N52" s="129"/>
      <c r="O52" s="129"/>
      <c r="P52" s="129"/>
      <c r="Q52" s="129"/>
      <c r="R52" s="129"/>
      <c r="S52" s="131"/>
      <c r="T52" s="134"/>
      <c r="U52" s="53"/>
      <c r="V52" s="53"/>
      <c r="W52" s="53"/>
      <c r="X52" s="53"/>
      <c r="Y52" s="53"/>
    </row>
  </sheetData>
  <sheetProtection sheet="1" objects="1" scenarios="1"/>
  <pageMargins left="0" right="0" top="1" bottom="0.5" header="0.5" footer="0.5"/>
  <pageSetup scale="94" fitToHeight="2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1C2E-3423-4E13-B990-5555CBFD47DB}">
  <sheetPr>
    <pageSetUpPr fitToPage="1"/>
  </sheetPr>
  <dimension ref="A1:Y52"/>
  <sheetViews>
    <sheetView showGridLines="0" zoomScaleNormal="100" workbookViewId="0">
      <selection activeCell="E40" sqref="E40"/>
    </sheetView>
  </sheetViews>
  <sheetFormatPr defaultColWidth="11.41015625" defaultRowHeight="13" x14ac:dyDescent="0.45"/>
  <cols>
    <col min="1" max="1" width="1.41015625" style="21" customWidth="1"/>
    <col min="2" max="2" width="4.41015625" style="21" customWidth="1"/>
    <col min="3" max="3" width="9.703125" style="21" customWidth="1"/>
    <col min="4" max="5" width="8.29296875" style="21" customWidth="1"/>
    <col min="6" max="6" width="44.87890625" style="21" customWidth="1"/>
    <col min="7" max="7" width="7.29296875" style="25" customWidth="1"/>
    <col min="8" max="8" width="5.703125" style="25" bestFit="1" customWidth="1"/>
    <col min="9" max="9" width="4.703125" style="25" bestFit="1" customWidth="1"/>
    <col min="10" max="10" width="10.703125" style="21" customWidth="1"/>
    <col min="11" max="11" width="12.1171875" style="21" customWidth="1"/>
    <col min="12" max="12" width="10.41015625" style="25" customWidth="1"/>
    <col min="13" max="13" width="9.41015625" style="25" customWidth="1"/>
    <col min="14" max="14" width="17.1171875" style="121" hidden="1" customWidth="1"/>
    <col min="15" max="15" width="12.29296875" style="121" hidden="1" customWidth="1"/>
    <col min="16" max="16" width="8.1171875" style="121" hidden="1" customWidth="1"/>
    <col min="17" max="18" width="15.87890625" style="121" hidden="1" customWidth="1"/>
    <col min="19" max="19" width="16.5859375" style="128" hidden="1" customWidth="1"/>
    <col min="20" max="20" width="0" style="124" hidden="1" customWidth="1"/>
    <col min="21" max="25" width="0" style="62" hidden="1" customWidth="1"/>
    <col min="26" max="16384" width="11.41015625" style="21"/>
  </cols>
  <sheetData>
    <row r="1" spans="1:25" x14ac:dyDescent="0.45">
      <c r="A1" s="21" t="s">
        <v>138</v>
      </c>
    </row>
    <row r="2" spans="1:25" x14ac:dyDescent="0.45">
      <c r="B2" s="72" t="s">
        <v>89</v>
      </c>
      <c r="N2" s="119" t="s">
        <v>163</v>
      </c>
      <c r="O2" s="120">
        <v>1.0149999999999999</v>
      </c>
      <c r="P2" s="120"/>
      <c r="R2" s="122"/>
      <c r="S2" s="123"/>
    </row>
    <row r="3" spans="1:25" ht="13.2" customHeight="1" x14ac:dyDescent="0.45">
      <c r="B3" s="19" t="s">
        <v>140</v>
      </c>
      <c r="C3" s="18"/>
      <c r="D3" s="18"/>
      <c r="E3" s="18"/>
      <c r="F3" s="19"/>
      <c r="G3" s="18"/>
      <c r="H3" s="18"/>
      <c r="I3" s="18"/>
      <c r="J3" s="20"/>
      <c r="K3" s="20"/>
      <c r="L3" s="20"/>
      <c r="M3" s="20"/>
      <c r="N3" s="177" t="s">
        <v>141</v>
      </c>
      <c r="O3" s="124" t="s">
        <v>164</v>
      </c>
      <c r="P3" s="124"/>
      <c r="Q3" s="125"/>
      <c r="R3" s="126"/>
      <c r="S3" s="127"/>
    </row>
    <row r="4" spans="1:25" ht="13.2" customHeight="1" x14ac:dyDescent="0.45">
      <c r="B4" s="22" t="s">
        <v>165</v>
      </c>
      <c r="C4" s="18"/>
      <c r="D4" s="18"/>
      <c r="E4" s="18"/>
      <c r="F4" s="19"/>
      <c r="G4" s="18"/>
      <c r="H4" s="18"/>
      <c r="I4" s="18"/>
      <c r="J4" s="20"/>
      <c r="K4" s="20"/>
      <c r="L4" s="20"/>
      <c r="M4" s="20"/>
      <c r="N4" s="177"/>
      <c r="O4" s="124"/>
      <c r="P4" s="124"/>
      <c r="Q4" s="125"/>
      <c r="R4" s="126"/>
      <c r="S4" s="127"/>
    </row>
    <row r="5" spans="1:25" ht="13.2" customHeight="1" x14ac:dyDescent="0.45">
      <c r="B5" s="22" t="s">
        <v>144</v>
      </c>
      <c r="C5" s="18"/>
      <c r="D5" s="18"/>
      <c r="E5" s="18"/>
      <c r="F5" s="19"/>
      <c r="G5" s="18"/>
      <c r="H5" s="18"/>
      <c r="I5" s="18"/>
      <c r="J5" s="20"/>
      <c r="K5" s="20"/>
      <c r="L5" s="20"/>
      <c r="M5" s="20"/>
      <c r="Q5" s="125"/>
      <c r="R5" s="125"/>
    </row>
    <row r="6" spans="1:25" ht="13.2" customHeight="1" x14ac:dyDescent="0.45">
      <c r="B6" s="22"/>
      <c r="C6" s="18"/>
      <c r="D6" s="18"/>
      <c r="E6" s="18"/>
      <c r="F6" s="19"/>
      <c r="G6" s="18"/>
      <c r="H6" s="18"/>
      <c r="I6" s="18"/>
      <c r="J6" s="20"/>
      <c r="K6" s="20"/>
      <c r="L6" s="20"/>
      <c r="M6" s="20"/>
      <c r="Q6" s="125"/>
      <c r="R6" s="125"/>
    </row>
    <row r="7" spans="1:25" ht="13.2" customHeight="1" x14ac:dyDescent="0.45">
      <c r="B7" s="22"/>
      <c r="C7" s="18" t="s">
        <v>145</v>
      </c>
      <c r="D7" s="18"/>
      <c r="E7" s="18"/>
      <c r="F7" s="19"/>
      <c r="G7" s="18"/>
      <c r="H7" s="143" t="s">
        <v>146</v>
      </c>
      <c r="I7" s="18" t="s">
        <v>147</v>
      </c>
      <c r="J7" s="18" t="s">
        <v>42</v>
      </c>
      <c r="K7" s="20"/>
      <c r="L7" s="20"/>
      <c r="M7" s="20"/>
      <c r="N7" s="125" t="s">
        <v>148</v>
      </c>
      <c r="O7" s="126"/>
      <c r="P7" s="126"/>
      <c r="Q7" s="126"/>
      <c r="R7" s="126"/>
      <c r="S7" s="127"/>
      <c r="U7" s="62" t="s">
        <v>149</v>
      </c>
    </row>
    <row r="8" spans="1:25" ht="13.2" customHeight="1" x14ac:dyDescent="0.45">
      <c r="B8" s="36" t="s">
        <v>43</v>
      </c>
      <c r="C8" s="36" t="s">
        <v>150</v>
      </c>
      <c r="D8" s="36" t="s">
        <v>151</v>
      </c>
      <c r="E8" s="36" t="s">
        <v>152</v>
      </c>
      <c r="F8" s="37" t="s">
        <v>153</v>
      </c>
      <c r="G8" s="38" t="s">
        <v>47</v>
      </c>
      <c r="H8" s="39" t="s">
        <v>154</v>
      </c>
      <c r="I8" s="36" t="s">
        <v>155</v>
      </c>
      <c r="J8" s="36" t="s">
        <v>50</v>
      </c>
      <c r="K8" s="20"/>
      <c r="L8" s="20"/>
      <c r="M8" s="20"/>
      <c r="N8" s="136" t="s">
        <v>152</v>
      </c>
      <c r="O8" s="136" t="s">
        <v>156</v>
      </c>
      <c r="P8" s="136" t="s">
        <v>157</v>
      </c>
      <c r="Q8" s="137" t="s">
        <v>153</v>
      </c>
      <c r="R8" s="136"/>
      <c r="S8" s="138" t="s">
        <v>158</v>
      </c>
      <c r="T8" s="139" t="s">
        <v>159</v>
      </c>
      <c r="U8" s="140" t="s">
        <v>152</v>
      </c>
      <c r="V8" s="140" t="s">
        <v>156</v>
      </c>
      <c r="W8" s="140" t="s">
        <v>157</v>
      </c>
      <c r="X8" s="141" t="s">
        <v>153</v>
      </c>
      <c r="Y8" s="142" t="s">
        <v>158</v>
      </c>
    </row>
    <row r="9" spans="1:25" ht="13.2" customHeight="1" x14ac:dyDescent="0.45">
      <c r="G9" s="24"/>
      <c r="J9" s="25"/>
    </row>
    <row r="10" spans="1:25" ht="13.2" customHeight="1" x14ac:dyDescent="0.45">
      <c r="B10" s="25" t="s">
        <v>51</v>
      </c>
      <c r="C10" s="25">
        <v>2</v>
      </c>
      <c r="D10" s="42" t="s">
        <v>52</v>
      </c>
      <c r="E10" s="25" t="s">
        <v>53</v>
      </c>
      <c r="F10" s="22" t="s">
        <v>54</v>
      </c>
      <c r="G10" s="24">
        <v>300</v>
      </c>
      <c r="H10" s="25">
        <v>6</v>
      </c>
      <c r="I10" s="25" t="s">
        <v>55</v>
      </c>
      <c r="J10" s="67">
        <f ca="1">S10</f>
        <v>47.38597285162524</v>
      </c>
      <c r="K10" s="20"/>
      <c r="L10" s="31"/>
      <c r="M10" s="20"/>
      <c r="N10" s="125" t="str">
        <f>E10</f>
        <v>03860C</v>
      </c>
      <c r="O10" s="125" t="s">
        <v>160</v>
      </c>
      <c r="P10" s="125" t="str">
        <f>D10</f>
        <v>01</v>
      </c>
      <c r="Q10" s="177" t="str">
        <f>F10</f>
        <v>Electrician</v>
      </c>
      <c r="R10" s="125"/>
      <c r="S10" s="128" cm="1">
        <f t="array" aca="1" ref="S10" ca="1">IF(O10="Y",((VLOOKUP(N10,INDIRECT($O$3),6,0)-VLOOKUP(N10,INDIRECT($O$3),7,0))*INDIRECT($N$2)+T10),VLOOKUP(N10,INDIRECT($O$3),6,0))</f>
        <v>47.38597285162524</v>
      </c>
      <c r="T10" s="135">
        <v>7.0000000000000007E-2</v>
      </c>
      <c r="U10" s="62" t="str">
        <f>N10</f>
        <v>03860C</v>
      </c>
      <c r="V10" s="62" t="str">
        <f>O10</f>
        <v>Y</v>
      </c>
      <c r="W10" s="62" t="str">
        <f>P10</f>
        <v>01</v>
      </c>
      <c r="X10" s="62" t="str">
        <f>Q10</f>
        <v>Electrician</v>
      </c>
      <c r="Y10" s="118">
        <f ca="1">ROUND(S10,3)</f>
        <v>47.386000000000003</v>
      </c>
    </row>
    <row r="11" spans="1:25" ht="13.2" customHeight="1" x14ac:dyDescent="0.45">
      <c r="B11" s="25" t="s">
        <v>51</v>
      </c>
      <c r="C11" s="25">
        <v>2</v>
      </c>
      <c r="D11" s="42" t="s">
        <v>56</v>
      </c>
      <c r="E11" s="25" t="s">
        <v>57</v>
      </c>
      <c r="F11" s="22" t="s">
        <v>58</v>
      </c>
      <c r="G11" s="24">
        <v>363</v>
      </c>
      <c r="H11" s="25">
        <v>8</v>
      </c>
      <c r="I11" s="25" t="s">
        <v>55</v>
      </c>
      <c r="J11" s="67">
        <f t="shared" ref="J11:J12" ca="1" si="0">S11</f>
        <v>50.262369149999991</v>
      </c>
      <c r="K11" s="20"/>
      <c r="L11" s="31"/>
      <c r="M11" s="20"/>
      <c r="N11" s="125" t="str">
        <f t="shared" ref="N11:N13" si="1">E11</f>
        <v>04600C</v>
      </c>
      <c r="O11" s="125" t="s">
        <v>160</v>
      </c>
      <c r="P11" s="125" t="str">
        <f t="shared" ref="P11:P14" si="2">D11</f>
        <v>02</v>
      </c>
      <c r="Q11" s="177" t="str">
        <f t="shared" ref="Q11:Q14" si="3">F11</f>
        <v>Foreman, Electrician</v>
      </c>
      <c r="R11" s="125"/>
      <c r="S11" s="128" cm="1">
        <f t="array" aca="1" ref="S11" ca="1">IF(O11="Y",((VLOOKUP(N11,INDIRECT($O$3),6,0)-VLOOKUP(N11,INDIRECT($O$3),7,0))*INDIRECT($N$2)+T11),VLOOKUP(N11,INDIRECT($O$3),6,0))</f>
        <v>50.262369149999991</v>
      </c>
      <c r="T11" s="135">
        <v>7.0000000000000007E-2</v>
      </c>
      <c r="U11" s="62" t="str">
        <f t="shared" ref="U11:U14" si="4">N11</f>
        <v>04600C</v>
      </c>
      <c r="V11" s="62" t="str">
        <f t="shared" ref="V11:V14" si="5">O11</f>
        <v>Y</v>
      </c>
      <c r="W11" s="62" t="str">
        <f t="shared" ref="W11:W14" si="6">P11</f>
        <v>02</v>
      </c>
      <c r="X11" s="62" t="str">
        <f t="shared" ref="X11:X14" si="7">Q11</f>
        <v>Foreman, Electrician</v>
      </c>
      <c r="Y11" s="118">
        <f t="shared" ref="Y11:Y14" ca="1" si="8">ROUND(S11,3)</f>
        <v>50.262</v>
      </c>
    </row>
    <row r="12" spans="1:25" ht="13.2" customHeight="1" x14ac:dyDescent="0.45">
      <c r="B12" s="25" t="s">
        <v>51</v>
      </c>
      <c r="C12" s="25">
        <v>2</v>
      </c>
      <c r="D12" s="42" t="s">
        <v>59</v>
      </c>
      <c r="E12" s="25" t="s">
        <v>60</v>
      </c>
      <c r="F12" s="22" t="s">
        <v>61</v>
      </c>
      <c r="G12" s="24">
        <v>363</v>
      </c>
      <c r="H12" s="25">
        <v>8</v>
      </c>
      <c r="I12" s="25" t="s">
        <v>55</v>
      </c>
      <c r="J12" s="67">
        <f t="shared" ca="1" si="0"/>
        <v>51.700654599999993</v>
      </c>
      <c r="K12" s="20"/>
      <c r="L12" s="31"/>
      <c r="M12" s="20"/>
      <c r="N12" s="125" t="str">
        <f t="shared" si="1"/>
        <v>04605C</v>
      </c>
      <c r="O12" s="125" t="s">
        <v>160</v>
      </c>
      <c r="P12" s="125" t="str">
        <f t="shared" si="2"/>
        <v>03</v>
      </c>
      <c r="Q12" s="177" t="str">
        <f t="shared" si="3"/>
        <v xml:space="preserve">Foreman, (Master) Electrician </v>
      </c>
      <c r="R12" s="125"/>
      <c r="S12" s="128" cm="1">
        <f t="array" aca="1" ref="S12" ca="1">IF(O12="Y",((VLOOKUP(N12,INDIRECT($O$3),6,0)-VLOOKUP(N12,INDIRECT($O$3),7,0))*INDIRECT($N$2)+T12),VLOOKUP(N12,INDIRECT($O$3),6,0))</f>
        <v>51.700654599999993</v>
      </c>
      <c r="T12" s="135">
        <v>7.0000000000000007E-2</v>
      </c>
      <c r="U12" s="62" t="str">
        <f t="shared" si="4"/>
        <v>04605C</v>
      </c>
      <c r="V12" s="62" t="str">
        <f t="shared" si="5"/>
        <v>Y</v>
      </c>
      <c r="W12" s="62" t="str">
        <f t="shared" si="6"/>
        <v>03</v>
      </c>
      <c r="X12" s="62" t="str">
        <f t="shared" si="7"/>
        <v xml:space="preserve">Foreman, (Master) Electrician </v>
      </c>
      <c r="Y12" s="118">
        <f t="shared" ca="1" si="8"/>
        <v>51.701000000000001</v>
      </c>
    </row>
    <row r="13" spans="1:25" ht="13.2" customHeight="1" x14ac:dyDescent="0.45">
      <c r="B13" s="25" t="s">
        <v>51</v>
      </c>
      <c r="C13" s="25">
        <v>2</v>
      </c>
      <c r="D13" s="42" t="s">
        <v>62</v>
      </c>
      <c r="E13" s="25" t="s">
        <v>63</v>
      </c>
      <c r="F13" s="22" t="s">
        <v>64</v>
      </c>
      <c r="G13" s="24">
        <v>475</v>
      </c>
      <c r="H13" s="25">
        <v>10</v>
      </c>
      <c r="I13" s="25" t="s">
        <v>55</v>
      </c>
      <c r="J13" s="67">
        <f ca="1">S13</f>
        <v>53.138940050000002</v>
      </c>
      <c r="K13" s="20"/>
      <c r="L13" s="31"/>
      <c r="M13" s="20"/>
      <c r="N13" s="125" t="str">
        <f t="shared" si="1"/>
        <v>05140C</v>
      </c>
      <c r="O13" s="125" t="s">
        <v>160</v>
      </c>
      <c r="P13" s="125" t="str">
        <f t="shared" si="2"/>
        <v>CSU N42</v>
      </c>
      <c r="Q13" s="177" t="str">
        <f t="shared" si="3"/>
        <v>*General Foreman, Electrician</v>
      </c>
      <c r="R13" s="125"/>
      <c r="S13" s="128" cm="1">
        <f t="array" aca="1" ref="S13" ca="1">IF(O13="Y",((VLOOKUP(N13,INDIRECT($O$3),6,0)-VLOOKUP(N13,INDIRECT($O$3),7,0))*INDIRECT($N$2)+T13),VLOOKUP(N13,INDIRECT($O$3),6,0))</f>
        <v>53.138940050000002</v>
      </c>
      <c r="T13" s="135">
        <v>7.0000000000000007E-2</v>
      </c>
      <c r="U13" s="62" t="str">
        <f t="shared" si="4"/>
        <v>05140C</v>
      </c>
      <c r="V13" s="62" t="str">
        <f t="shared" si="5"/>
        <v>Y</v>
      </c>
      <c r="W13" s="62" t="str">
        <f t="shared" si="6"/>
        <v>CSU N42</v>
      </c>
      <c r="X13" s="62" t="str">
        <f t="shared" si="7"/>
        <v>*General Foreman, Electrician</v>
      </c>
      <c r="Y13" s="118">
        <f t="shared" ca="1" si="8"/>
        <v>53.139000000000003</v>
      </c>
    </row>
    <row r="14" spans="1:25" ht="13.2" customHeight="1" x14ac:dyDescent="0.45">
      <c r="B14" s="25" t="s">
        <v>51</v>
      </c>
      <c r="C14" s="25">
        <v>2</v>
      </c>
      <c r="D14" s="42" t="s">
        <v>62</v>
      </c>
      <c r="E14" s="25" t="s">
        <v>99</v>
      </c>
      <c r="F14" s="22" t="s">
        <v>100</v>
      </c>
      <c r="G14" s="24"/>
      <c r="H14" s="25">
        <v>10</v>
      </c>
      <c r="I14" s="25" t="s">
        <v>55</v>
      </c>
      <c r="J14" s="67">
        <f ca="1">S14</f>
        <v>53.138940050000002</v>
      </c>
      <c r="K14" s="20"/>
      <c r="L14" s="31"/>
      <c r="M14" s="20"/>
      <c r="N14" s="121" t="s">
        <v>99</v>
      </c>
      <c r="O14" s="121" t="s">
        <v>160</v>
      </c>
      <c r="P14" s="125" t="str">
        <f t="shared" si="2"/>
        <v>CSU N42</v>
      </c>
      <c r="Q14" s="177" t="str">
        <f t="shared" si="3"/>
        <v>*Supervisor Water Plant Electrical and Control Systems</v>
      </c>
      <c r="S14" s="128" cm="1">
        <f t="array" aca="1" ref="S14" ca="1">IF(O14="Y",((VLOOKUP(N14,INDIRECT($O$3),6,0)-VLOOKUP(N14,INDIRECT($O$3),7,0))*INDIRECT($N$2)+T14),VLOOKUP(N14,INDIRECT($O$3),6,0))</f>
        <v>53.138940050000002</v>
      </c>
      <c r="T14" s="135">
        <v>7.0000000000000007E-2</v>
      </c>
      <c r="U14" s="62" t="str">
        <f t="shared" si="4"/>
        <v>10375C</v>
      </c>
      <c r="V14" s="62" t="str">
        <f t="shared" si="5"/>
        <v>Y</v>
      </c>
      <c r="W14" s="62" t="str">
        <f t="shared" si="6"/>
        <v>CSU N42</v>
      </c>
      <c r="X14" s="62" t="str">
        <f t="shared" si="7"/>
        <v>*Supervisor Water Plant Electrical and Control Systems</v>
      </c>
      <c r="Y14" s="118">
        <f t="shared" ca="1" si="8"/>
        <v>53.139000000000003</v>
      </c>
    </row>
    <row r="15" spans="1:25" ht="13.2" customHeight="1" x14ac:dyDescent="0.45">
      <c r="B15" s="25"/>
      <c r="C15" s="25"/>
      <c r="D15" s="42"/>
      <c r="E15" s="25"/>
      <c r="F15" s="22"/>
      <c r="G15" s="24"/>
      <c r="J15" s="67"/>
      <c r="K15" s="20"/>
      <c r="L15" s="31"/>
      <c r="M15" s="20"/>
      <c r="N15" s="125"/>
      <c r="O15" s="125"/>
      <c r="P15" s="125"/>
      <c r="Q15" s="125"/>
      <c r="R15" s="125"/>
    </row>
    <row r="16" spans="1:25" ht="13.2" customHeight="1" x14ac:dyDescent="0.45">
      <c r="B16" s="18"/>
      <c r="C16" s="18"/>
      <c r="D16" s="32"/>
      <c r="E16" s="18"/>
      <c r="F16" s="22" t="s">
        <v>101</v>
      </c>
      <c r="G16" s="23"/>
      <c r="H16" s="18"/>
      <c r="I16" s="18"/>
      <c r="J16" s="30"/>
      <c r="K16" s="20"/>
      <c r="L16" s="31"/>
      <c r="M16" s="20"/>
      <c r="N16" s="125"/>
      <c r="O16" s="125"/>
      <c r="P16" s="125"/>
      <c r="Q16" s="125"/>
      <c r="R16" s="125"/>
    </row>
    <row r="17" spans="3:25" ht="13.2" customHeight="1" x14ac:dyDescent="0.45">
      <c r="C17" s="1" t="s">
        <v>66</v>
      </c>
      <c r="D17" s="2"/>
      <c r="H17" s="2"/>
      <c r="I17" s="2"/>
      <c r="J17" s="2"/>
      <c r="K17" s="3"/>
      <c r="L17" s="3"/>
      <c r="M17" s="3"/>
      <c r="N17" s="129"/>
      <c r="O17" s="129"/>
      <c r="P17" s="129"/>
      <c r="Q17" s="129"/>
      <c r="R17" s="129"/>
      <c r="S17" s="130"/>
    </row>
    <row r="18" spans="3:25" ht="13.2" customHeight="1" x14ac:dyDescent="0.45">
      <c r="C18" s="8" t="s">
        <v>67</v>
      </c>
      <c r="G18" s="5"/>
      <c r="H18" s="6"/>
      <c r="I18" s="6"/>
      <c r="J18" s="7"/>
      <c r="K18" s="7"/>
      <c r="L18" s="3"/>
      <c r="M18" s="3"/>
      <c r="N18" s="129"/>
      <c r="O18" s="129"/>
      <c r="P18" s="129"/>
      <c r="Q18" s="129"/>
      <c r="R18" s="129"/>
      <c r="S18" s="130"/>
    </row>
    <row r="19" spans="3:25" ht="13.2" customHeight="1" x14ac:dyDescent="0.45">
      <c r="C19" s="144">
        <f ca="1">S19</f>
        <v>0.27261813949999997</v>
      </c>
      <c r="D19" s="5" t="s">
        <v>68</v>
      </c>
      <c r="I19" s="10"/>
      <c r="J19" s="11"/>
      <c r="K19" s="11"/>
      <c r="L19" s="12"/>
      <c r="M19" s="12"/>
      <c r="N19" s="129" t="s">
        <v>69</v>
      </c>
      <c r="O19" s="129" t="s">
        <v>160</v>
      </c>
      <c r="P19" s="129"/>
      <c r="Q19" s="124" t="s">
        <v>102</v>
      </c>
      <c r="R19" s="129"/>
      <c r="S19" s="128" cm="1">
        <f t="array" aca="1" ref="S19" ca="1">IF(O19="Y",VLOOKUP(N19,INDIRECT($O$3),6,0)*INDIRECT($N$2),VLOOKUP(N19,INDIRECT($O$3),6,0))</f>
        <v>0.27261813949999997</v>
      </c>
      <c r="U19" s="62" t="str">
        <f t="shared" ref="U19:U22" si="9">N19</f>
        <v>LNG10</v>
      </c>
      <c r="V19" s="62" t="str">
        <f t="shared" ref="V19:V22" si="10">O19</f>
        <v>Y</v>
      </c>
      <c r="W19" s="62">
        <f t="shared" ref="W19:W22" si="11">P19</f>
        <v>0</v>
      </c>
      <c r="X19" s="62" t="str">
        <f t="shared" ref="X19:X22" si="12">Q19</f>
        <v>Longevity - 10 years</v>
      </c>
      <c r="Y19" s="118">
        <f t="shared" ref="Y19:Y22" ca="1" si="13">ROUND(S19,3)</f>
        <v>0.27300000000000002</v>
      </c>
    </row>
    <row r="20" spans="3:25" ht="13.2" customHeight="1" x14ac:dyDescent="0.45">
      <c r="C20" s="144">
        <f ca="1">S20</f>
        <v>0.37667086449999998</v>
      </c>
      <c r="D20" s="5" t="s">
        <v>70</v>
      </c>
      <c r="I20" s="10"/>
      <c r="J20" s="11"/>
      <c r="K20" s="11"/>
      <c r="L20" s="12"/>
      <c r="M20" s="12"/>
      <c r="N20" s="129" t="s">
        <v>71</v>
      </c>
      <c r="O20" s="129" t="s">
        <v>160</v>
      </c>
      <c r="P20" s="129"/>
      <c r="Q20" s="124" t="s">
        <v>103</v>
      </c>
      <c r="R20" s="129"/>
      <c r="S20" s="128" cm="1">
        <f t="array" aca="1" ref="S20" ca="1">IF(O20="Y",VLOOKUP(N20,INDIRECT($O$3),6,0)*INDIRECT($N$2),VLOOKUP(N20,INDIRECT($O$3),6,0))</f>
        <v>0.37667086449999998</v>
      </c>
      <c r="U20" s="62" t="str">
        <f t="shared" si="9"/>
        <v>LNG15</v>
      </c>
      <c r="V20" s="62" t="str">
        <f t="shared" si="10"/>
        <v>Y</v>
      </c>
      <c r="W20" s="62">
        <f t="shared" si="11"/>
        <v>0</v>
      </c>
      <c r="X20" s="62" t="str">
        <f t="shared" si="12"/>
        <v>Longevity - 15 years</v>
      </c>
      <c r="Y20" s="118">
        <f t="shared" ca="1" si="13"/>
        <v>0.377</v>
      </c>
    </row>
    <row r="21" spans="3:25" ht="13.2" customHeight="1" x14ac:dyDescent="0.45">
      <c r="C21" s="144">
        <f ca="1">S21</f>
        <v>0.60038422324999985</v>
      </c>
      <c r="D21" s="5" t="s">
        <v>72</v>
      </c>
      <c r="I21" s="10"/>
      <c r="J21" s="11"/>
      <c r="K21" s="11"/>
      <c r="L21" s="12"/>
      <c r="M21" s="12"/>
      <c r="N21" s="129" t="s">
        <v>73</v>
      </c>
      <c r="O21" s="129" t="s">
        <v>160</v>
      </c>
      <c r="P21" s="129"/>
      <c r="Q21" s="124" t="s">
        <v>104</v>
      </c>
      <c r="R21" s="129"/>
      <c r="S21" s="128" cm="1">
        <f t="array" aca="1" ref="S21" ca="1">IF(O21="Y",VLOOKUP(N21,INDIRECT($O$3),6,0)*INDIRECT($N$2),VLOOKUP(N21,INDIRECT($O$3),6,0))</f>
        <v>0.60038422324999985</v>
      </c>
      <c r="U21" s="62" t="str">
        <f t="shared" si="9"/>
        <v>LNG20</v>
      </c>
      <c r="V21" s="62" t="str">
        <f t="shared" si="10"/>
        <v>Y</v>
      </c>
      <c r="W21" s="62">
        <f t="shared" si="11"/>
        <v>0</v>
      </c>
      <c r="X21" s="62" t="str">
        <f t="shared" si="12"/>
        <v>Longevity - 20 years</v>
      </c>
      <c r="Y21" s="118">
        <f t="shared" ca="1" si="13"/>
        <v>0.6</v>
      </c>
    </row>
    <row r="22" spans="3:25" ht="13.2" customHeight="1" x14ac:dyDescent="0.45">
      <c r="C22" s="144">
        <f ca="1">S22</f>
        <v>0.90005607124999987</v>
      </c>
      <c r="D22" s="5" t="s">
        <v>74</v>
      </c>
      <c r="I22" s="10"/>
      <c r="J22" s="11"/>
      <c r="K22" s="11"/>
      <c r="L22" s="12"/>
      <c r="M22" s="12"/>
      <c r="N22" s="129" t="s">
        <v>75</v>
      </c>
      <c r="O22" s="129" t="s">
        <v>160</v>
      </c>
      <c r="P22" s="129"/>
      <c r="Q22" s="124" t="s">
        <v>105</v>
      </c>
      <c r="R22" s="129"/>
      <c r="S22" s="128" cm="1">
        <f t="array" aca="1" ref="S22" ca="1">IF(O22="Y",VLOOKUP(N22,INDIRECT($O$3),6,0)*INDIRECT($N$2),VLOOKUP(N22,INDIRECT($O$3),6,0))</f>
        <v>0.90005607124999987</v>
      </c>
      <c r="U22" s="62" t="str">
        <f t="shared" si="9"/>
        <v>LNG25</v>
      </c>
      <c r="V22" s="62" t="str">
        <f t="shared" si="10"/>
        <v>Y</v>
      </c>
      <c r="W22" s="62">
        <f t="shared" si="11"/>
        <v>0</v>
      </c>
      <c r="X22" s="62" t="str">
        <f t="shared" si="12"/>
        <v>Longevity - 25 years</v>
      </c>
      <c r="Y22" s="118">
        <f t="shared" ca="1" si="13"/>
        <v>0.9</v>
      </c>
    </row>
    <row r="23" spans="3:25" ht="13.2" customHeight="1" x14ac:dyDescent="0.45"/>
    <row r="24" spans="3:25" ht="13.2" customHeight="1" x14ac:dyDescent="0.45">
      <c r="C24" s="1" t="s">
        <v>76</v>
      </c>
    </row>
    <row r="25" spans="3:25" ht="13.2" customHeight="1" x14ac:dyDescent="0.45">
      <c r="C25" s="46" t="str">
        <f ca="1">"Provided that a night shift differential of "&amp;TEXT(S25,"$#.000")&amp;" per hour for each hour, or fraction thereof, they"</f>
        <v>Provided that a night shift differential of $2.209 per hour for each hour, or fraction thereof, they</v>
      </c>
      <c r="G25" s="33"/>
      <c r="H25" s="19"/>
      <c r="N25" s="121" t="s">
        <v>79</v>
      </c>
      <c r="O25" s="129" t="s">
        <v>160</v>
      </c>
      <c r="P25" s="129"/>
      <c r="Q25" s="124" t="s">
        <v>106</v>
      </c>
      <c r="S25" s="128" cm="1">
        <f t="array" aca="1" ref="S25" ca="1">IF(O25="Y",VLOOKUP(N25,INDIRECT($O$3),6,0)*INDIRECT($N$2),VLOOKUP(N25,INDIRECT($O$3),6,0))</f>
        <v>2.2092064882929696</v>
      </c>
      <c r="U25" s="62" t="str">
        <f t="shared" ref="U25:U26" si="14">N25</f>
        <v>CELEVE</v>
      </c>
      <c r="V25" s="62" t="str">
        <f t="shared" ref="V25:V26" si="15">O25</f>
        <v>Y</v>
      </c>
      <c r="W25" s="62">
        <f t="shared" ref="W25:W26" si="16">P25</f>
        <v>0</v>
      </c>
      <c r="X25" s="62" t="str">
        <f t="shared" ref="X25:X26" si="17">Q25</f>
        <v>TL-Evening Shift Premium-CEL</v>
      </c>
      <c r="Y25" s="118">
        <f t="shared" ref="Y25:Y26" ca="1" si="18">ROUND(S25,3)</f>
        <v>2.2090000000000001</v>
      </c>
    </row>
    <row r="26" spans="3:25" ht="13.2" customHeight="1" x14ac:dyDescent="0.45">
      <c r="C26" s="46" t="s">
        <v>80</v>
      </c>
      <c r="N26" s="121" t="s">
        <v>81</v>
      </c>
      <c r="O26" s="129" t="s">
        <v>160</v>
      </c>
      <c r="P26" s="129"/>
      <c r="Q26" s="124" t="s">
        <v>107</v>
      </c>
      <c r="S26" s="128" cm="1">
        <f t="array" aca="1" ref="S26" ca="1">IF(O26="Y",VLOOKUP(N26,INDIRECT($O$3),6,0)*INDIRECT($N$2),VLOOKUP(N26,INDIRECT($O$3),6,0))</f>
        <v>2.2092064882929696</v>
      </c>
      <c r="U26" s="62" t="str">
        <f t="shared" si="14"/>
        <v>CELSGT</v>
      </c>
      <c r="V26" s="62" t="str">
        <f t="shared" si="15"/>
        <v>Y</v>
      </c>
      <c r="W26" s="62">
        <f t="shared" si="16"/>
        <v>0</v>
      </c>
      <c r="X26" s="62" t="str">
        <f t="shared" si="17"/>
        <v>TL-Signal Truck Premium-CEL</v>
      </c>
      <c r="Y26" s="118">
        <f t="shared" ca="1" si="18"/>
        <v>2.2090000000000001</v>
      </c>
    </row>
    <row r="27" spans="3:25" ht="13.2" customHeight="1" x14ac:dyDescent="0.45">
      <c r="C27" s="46" t="s">
        <v>82</v>
      </c>
    </row>
    <row r="28" spans="3:25" ht="13.2" customHeight="1" x14ac:dyDescent="0.45">
      <c r="C28" s="46"/>
    </row>
    <row r="29" spans="3:25" ht="13.2" customHeight="1" x14ac:dyDescent="0.45">
      <c r="C29" s="46" t="str">
        <f ca="1">"Provided that a weekend shift differential of "&amp;TEXT(S29,"$#.000")&amp;" per hour shall be paid to employees who work"</f>
        <v>Provided that a weekend shift differential of $1.498 per hour shall be paid to employees who work</v>
      </c>
      <c r="G29" s="35"/>
      <c r="H29" s="19"/>
      <c r="N29" s="121" t="s">
        <v>85</v>
      </c>
      <c r="O29" s="129" t="s">
        <v>160</v>
      </c>
      <c r="P29" s="129"/>
      <c r="Q29" s="124" t="s">
        <v>108</v>
      </c>
      <c r="S29" s="128" cm="1">
        <f t="array" aca="1" ref="S29" ca="1">IF(O29="Y",VLOOKUP(N29,INDIRECT($O$3),6,0)*INDIRECT($N$2),VLOOKUP(N29,INDIRECT($O$3),6,0))</f>
        <v>1.4979627015683199</v>
      </c>
      <c r="U29" s="62" t="str">
        <f t="shared" ref="U29" si="19">N29</f>
        <v>CELWKE</v>
      </c>
      <c r="V29" s="62" t="str">
        <f t="shared" ref="V29" si="20">O29</f>
        <v>Y</v>
      </c>
      <c r="W29" s="62">
        <f t="shared" ref="W29" si="21">P29</f>
        <v>0</v>
      </c>
      <c r="X29" s="62" t="str">
        <f t="shared" ref="X29" si="22">Q29</f>
        <v>TL-Wkend Shift dif CEL</v>
      </c>
      <c r="Y29" s="118">
        <f t="shared" ref="Y29" ca="1" si="23">ROUND(S29,3)</f>
        <v>1.498</v>
      </c>
    </row>
    <row r="30" spans="3:25" ht="13.2" customHeight="1" x14ac:dyDescent="0.45">
      <c r="C30" s="46" t="s">
        <v>86</v>
      </c>
    </row>
    <row r="31" spans="3:25" ht="13.2" customHeight="1" x14ac:dyDescent="0.45">
      <c r="F31" s="19"/>
    </row>
    <row r="32" spans="3:25" ht="13.2" customHeight="1" x14ac:dyDescent="0.45">
      <c r="C32" s="68" t="str">
        <f ca="1">"Provided that a premium of "&amp;TEXT(S32,"$#.000")&amp;" per hour shall be paid to employees for hours worked while performing welding work."</f>
        <v>Provided that a premium of $1.025 per hour shall be paid to employees for hours worked while performing welding work.</v>
      </c>
      <c r="D32" s="3"/>
      <c r="N32" s="129" t="s">
        <v>136</v>
      </c>
      <c r="O32" s="129" t="s">
        <v>160</v>
      </c>
      <c r="P32" s="129"/>
      <c r="Q32" s="124" t="s">
        <v>137</v>
      </c>
      <c r="R32" s="129"/>
      <c r="S32" s="128" cm="1">
        <f t="array" aca="1" ref="S32" ca="1">IF(O32="Y",VLOOKUP(N32,INDIRECT($O$3),6,0)*INDIRECT($N$2),VLOOKUP(N32,INDIRECT($O$3),6,0))</f>
        <v>1.02515</v>
      </c>
      <c r="U32" s="62" t="str">
        <f t="shared" ref="U32" si="24">N32</f>
        <v>CELWLD</v>
      </c>
      <c r="V32" s="62" t="str">
        <f t="shared" ref="V32" si="25">O32</f>
        <v>Y</v>
      </c>
      <c r="W32" s="62">
        <f t="shared" ref="W32" si="26">P32</f>
        <v>0</v>
      </c>
      <c r="X32" s="62" t="str">
        <f t="shared" ref="X32" si="27">Q32</f>
        <v>Welding premium - add to COMET</v>
      </c>
      <c r="Y32" s="118">
        <f t="shared" ref="Y32" ca="1" si="28">ROUND(S32,3)</f>
        <v>1.0249999999999999</v>
      </c>
    </row>
    <row r="33" spans="1:25" ht="13.2" customHeight="1" x14ac:dyDescent="0.45">
      <c r="C33" s="68"/>
      <c r="D33" s="3"/>
      <c r="N33" s="129"/>
      <c r="O33" s="129"/>
      <c r="P33" s="129"/>
      <c r="Q33" s="129"/>
      <c r="R33" s="129"/>
      <c r="S33" s="130"/>
    </row>
    <row r="34" spans="1:25" s="12" customFormat="1" x14ac:dyDescent="0.45">
      <c r="C34" s="12" t="s">
        <v>109</v>
      </c>
      <c r="N34" s="129" t="s">
        <v>87</v>
      </c>
      <c r="O34" s="129" t="s">
        <v>51</v>
      </c>
      <c r="P34" s="129"/>
      <c r="Q34" s="124" t="s">
        <v>110</v>
      </c>
      <c r="R34" s="129"/>
      <c r="S34" s="128" cm="1">
        <f t="array" aca="1" ref="S34" ca="1">IF(O34="Y",VLOOKUP(N34,INDIRECT($O$3),6,0)*INDIRECT($N$2),VLOOKUP(N34,INDIRECT($O$3),6,0))</f>
        <v>35</v>
      </c>
      <c r="T34" s="133"/>
      <c r="U34" s="62" t="str">
        <f t="shared" ref="U34:U35" si="29">N34</f>
        <v>CELCDY</v>
      </c>
      <c r="V34" s="62" t="str">
        <f t="shared" ref="V34:V35" si="30">O34</f>
        <v>N</v>
      </c>
      <c r="W34" s="62">
        <f t="shared" ref="W34:W35" si="31">P34</f>
        <v>0</v>
      </c>
      <c r="X34" s="62" t="str">
        <f t="shared" ref="X34:X35" si="32">Q34</f>
        <v>TL-On call by the day-CEL</v>
      </c>
      <c r="Y34" s="118">
        <f t="shared" ref="Y34:Y35" ca="1" si="33">S34</f>
        <v>35</v>
      </c>
    </row>
    <row r="35" spans="1:25" s="12" customFormat="1" x14ac:dyDescent="0.45">
      <c r="C35" s="68" t="s">
        <v>111</v>
      </c>
      <c r="N35" s="129" t="s">
        <v>88</v>
      </c>
      <c r="O35" s="129" t="s">
        <v>51</v>
      </c>
      <c r="P35" s="129"/>
      <c r="Q35" s="124" t="s">
        <v>112</v>
      </c>
      <c r="R35" s="129"/>
      <c r="S35" s="128" cm="1">
        <f t="array" aca="1" ref="S35" ca="1">IF(O35="Y",VLOOKUP(N35,INDIRECT($O$3),6,0)*INDIRECT($N$2),VLOOKUP(N35,INDIRECT($O$3),6,0))</f>
        <v>45</v>
      </c>
      <c r="T35" s="133"/>
      <c r="U35" s="62" t="str">
        <f t="shared" si="29"/>
        <v>CELCWE</v>
      </c>
      <c r="V35" s="62" t="str">
        <f t="shared" si="30"/>
        <v>N</v>
      </c>
      <c r="W35" s="62">
        <f t="shared" si="31"/>
        <v>0</v>
      </c>
      <c r="X35" s="62" t="str">
        <f t="shared" si="32"/>
        <v>TL-On call by day Weekend-CEL</v>
      </c>
      <c r="Y35" s="118">
        <f t="shared" ca="1" si="33"/>
        <v>45</v>
      </c>
    </row>
    <row r="36" spans="1:25" s="3" customFormat="1" x14ac:dyDescent="0.45">
      <c r="C36" s="68" t="s">
        <v>113</v>
      </c>
      <c r="N36" s="129"/>
      <c r="O36" s="129"/>
      <c r="P36" s="129"/>
      <c r="Q36" s="129"/>
      <c r="R36" s="129"/>
      <c r="S36" s="131"/>
      <c r="T36" s="134"/>
      <c r="U36" s="53"/>
      <c r="V36" s="53"/>
      <c r="W36" s="53"/>
      <c r="X36" s="53"/>
      <c r="Y36" s="53"/>
    </row>
    <row r="37" spans="1:25" s="3" customFormat="1" x14ac:dyDescent="0.45">
      <c r="C37" s="68" t="s">
        <v>114</v>
      </c>
      <c r="N37" s="129"/>
      <c r="O37" s="129"/>
      <c r="P37" s="129"/>
      <c r="Q37" s="129"/>
      <c r="R37" s="129"/>
      <c r="S37" s="131"/>
      <c r="T37" s="134"/>
      <c r="U37" s="53"/>
      <c r="V37" s="53"/>
      <c r="W37" s="53"/>
      <c r="X37" s="53"/>
      <c r="Y37" s="53"/>
    </row>
    <row r="38" spans="1:25" s="3" customFormat="1" x14ac:dyDescent="0.45">
      <c r="C38" s="68" t="s">
        <v>115</v>
      </c>
      <c r="N38" s="129"/>
      <c r="O38" s="129"/>
      <c r="P38" s="129"/>
      <c r="Q38" s="129"/>
      <c r="R38" s="129"/>
      <c r="S38" s="131"/>
      <c r="T38" s="134"/>
      <c r="U38" s="53"/>
      <c r="V38" s="53"/>
      <c r="W38" s="53"/>
      <c r="X38" s="53"/>
      <c r="Y38" s="53"/>
    </row>
    <row r="39" spans="1:25" s="3" customFormat="1" x14ac:dyDescent="0.45">
      <c r="N39" s="129"/>
      <c r="O39" s="129"/>
      <c r="P39" s="129"/>
      <c r="Q39" s="129"/>
      <c r="R39" s="129"/>
      <c r="S39" s="131"/>
      <c r="T39" s="134"/>
      <c r="U39" s="53"/>
      <c r="V39" s="53"/>
      <c r="W39" s="53"/>
      <c r="X39" s="53"/>
      <c r="Y39" s="53"/>
    </row>
    <row r="40" spans="1:25" s="3" customFormat="1" x14ac:dyDescent="0.45">
      <c r="N40" s="129"/>
      <c r="O40" s="129"/>
      <c r="P40" s="129"/>
      <c r="Q40" s="129"/>
      <c r="R40" s="129"/>
      <c r="S40" s="131"/>
      <c r="T40" s="134"/>
      <c r="U40" s="53"/>
      <c r="V40" s="53"/>
      <c r="W40" s="53"/>
      <c r="X40" s="53"/>
      <c r="Y40" s="53"/>
    </row>
    <row r="41" spans="1:25" s="3" customFormat="1" x14ac:dyDescent="0.45">
      <c r="N41" s="129"/>
      <c r="O41" s="129"/>
      <c r="P41" s="129"/>
      <c r="Q41" s="129"/>
      <c r="R41" s="129"/>
      <c r="S41" s="131"/>
      <c r="T41" s="134"/>
      <c r="U41" s="53"/>
      <c r="V41" s="53"/>
      <c r="W41" s="53"/>
      <c r="X41" s="53"/>
      <c r="Y41" s="53"/>
    </row>
    <row r="42" spans="1:25" s="3" customFormat="1" x14ac:dyDescent="0.45">
      <c r="A42" s="3" t="s">
        <v>161</v>
      </c>
      <c r="J42" s="3" t="s">
        <v>162</v>
      </c>
      <c r="N42" s="129"/>
      <c r="O42" s="129"/>
      <c r="P42" s="129"/>
      <c r="Q42" s="129"/>
      <c r="R42" s="129"/>
      <c r="S42" s="131"/>
      <c r="T42" s="134"/>
      <c r="U42" s="53"/>
      <c r="V42" s="53"/>
      <c r="W42" s="53"/>
      <c r="X42" s="53"/>
      <c r="Y42" s="53"/>
    </row>
    <row r="43" spans="1:25" s="3" customFormat="1" x14ac:dyDescent="0.45">
      <c r="N43" s="129"/>
      <c r="O43" s="129"/>
      <c r="P43" s="129"/>
      <c r="Q43" s="129"/>
      <c r="R43" s="129"/>
      <c r="S43" s="131"/>
      <c r="T43" s="134"/>
      <c r="U43" s="53"/>
      <c r="V43" s="53"/>
      <c r="W43" s="53"/>
      <c r="X43" s="53"/>
      <c r="Y43" s="53"/>
    </row>
    <row r="44" spans="1:25" s="3" customFormat="1" x14ac:dyDescent="0.45">
      <c r="N44" s="129"/>
      <c r="O44" s="129"/>
      <c r="P44" s="129"/>
      <c r="Q44" s="129"/>
      <c r="R44" s="129"/>
      <c r="S44" s="131"/>
      <c r="T44" s="134"/>
      <c r="U44" s="53"/>
      <c r="V44" s="53"/>
      <c r="W44" s="53"/>
      <c r="X44" s="53"/>
      <c r="Y44" s="53"/>
    </row>
    <row r="45" spans="1:25" s="3" customFormat="1" x14ac:dyDescent="0.45">
      <c r="N45" s="129"/>
      <c r="O45" s="129"/>
      <c r="P45" s="129"/>
      <c r="Q45" s="129"/>
      <c r="R45" s="129"/>
      <c r="S45" s="131"/>
      <c r="T45" s="134"/>
      <c r="U45" s="53"/>
      <c r="V45" s="53"/>
      <c r="W45" s="53"/>
      <c r="X45" s="53"/>
      <c r="Y45" s="53"/>
    </row>
    <row r="46" spans="1:25" s="3" customFormat="1" x14ac:dyDescent="0.45">
      <c r="N46" s="129"/>
      <c r="O46" s="129"/>
      <c r="P46" s="129"/>
      <c r="Q46" s="129"/>
      <c r="R46" s="129"/>
      <c r="S46" s="131"/>
      <c r="T46" s="134"/>
      <c r="U46" s="53"/>
      <c r="V46" s="53"/>
      <c r="W46" s="53"/>
      <c r="X46" s="53"/>
      <c r="Y46" s="53"/>
    </row>
    <row r="47" spans="1:25" s="3" customFormat="1" x14ac:dyDescent="0.45">
      <c r="B47" s="29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32"/>
      <c r="O47" s="132"/>
      <c r="P47" s="132"/>
      <c r="Q47" s="132"/>
      <c r="R47" s="132"/>
      <c r="S47" s="131"/>
      <c r="T47" s="134"/>
      <c r="U47" s="53"/>
      <c r="V47" s="53"/>
      <c r="W47" s="53"/>
      <c r="X47" s="53"/>
      <c r="Y47" s="53"/>
    </row>
    <row r="48" spans="1:25" s="3" customFormat="1" x14ac:dyDescent="0.4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2"/>
      <c r="O48" s="132"/>
      <c r="P48" s="132"/>
      <c r="Q48" s="132"/>
      <c r="R48" s="132"/>
      <c r="S48" s="131"/>
      <c r="T48" s="134"/>
      <c r="U48" s="53"/>
      <c r="V48" s="53"/>
      <c r="W48" s="53"/>
      <c r="X48" s="53"/>
      <c r="Y48" s="53"/>
    </row>
    <row r="49" spans="2:25" s="17" customFormat="1" x14ac:dyDescent="0.45">
      <c r="B49" s="14"/>
      <c r="C49" s="14"/>
      <c r="D49" s="14"/>
      <c r="E49" s="14"/>
      <c r="F49" s="14"/>
      <c r="G49" s="14"/>
      <c r="H49" s="14"/>
      <c r="I49" s="14"/>
      <c r="J49" s="16"/>
      <c r="K49" s="14"/>
      <c r="L49" s="14"/>
      <c r="M49" s="14"/>
      <c r="N49" s="132"/>
      <c r="O49" s="132"/>
      <c r="P49" s="132"/>
      <c r="Q49" s="132"/>
      <c r="R49" s="132"/>
      <c r="S49" s="131"/>
      <c r="T49" s="129"/>
      <c r="U49" s="49"/>
      <c r="V49" s="49"/>
      <c r="W49" s="49"/>
      <c r="X49" s="49"/>
      <c r="Y49" s="49"/>
    </row>
    <row r="50" spans="2:25" s="3" customFormat="1" x14ac:dyDescent="0.45">
      <c r="B50" s="17"/>
      <c r="C50" s="17"/>
      <c r="D50" s="17"/>
      <c r="G50" s="17"/>
      <c r="H50" s="17"/>
      <c r="J50" s="16"/>
      <c r="K50" s="16"/>
      <c r="L50" s="16"/>
      <c r="N50" s="129"/>
      <c r="O50" s="129"/>
      <c r="P50" s="129"/>
      <c r="Q50" s="129"/>
      <c r="R50" s="129"/>
      <c r="S50" s="131"/>
      <c r="T50" s="134"/>
      <c r="U50" s="53"/>
      <c r="V50" s="53"/>
      <c r="W50" s="53"/>
      <c r="X50" s="53"/>
      <c r="Y50" s="53"/>
    </row>
    <row r="51" spans="2:25" s="3" customFormat="1" x14ac:dyDescent="0.45">
      <c r="N51" s="129"/>
      <c r="O51" s="129"/>
      <c r="P51" s="129"/>
      <c r="Q51" s="129"/>
      <c r="R51" s="129"/>
      <c r="S51" s="131"/>
      <c r="T51" s="134"/>
      <c r="U51" s="53"/>
      <c r="V51" s="53"/>
      <c r="W51" s="53"/>
      <c r="X51" s="53"/>
      <c r="Y51" s="53"/>
    </row>
    <row r="52" spans="2:25" s="3" customFormat="1" x14ac:dyDescent="0.45">
      <c r="N52" s="129"/>
      <c r="O52" s="129"/>
      <c r="P52" s="129"/>
      <c r="Q52" s="129"/>
      <c r="R52" s="129"/>
      <c r="S52" s="131"/>
      <c r="T52" s="134"/>
      <c r="U52" s="53"/>
      <c r="V52" s="53"/>
      <c r="W52" s="53"/>
      <c r="X52" s="53"/>
      <c r="Y52" s="53"/>
    </row>
  </sheetData>
  <sheetProtection sheet="1" objects="1" scenarios="1"/>
  <pageMargins left="0" right="0" top="1" bottom="0.5" header="0.5" footer="0.5"/>
  <pageSetup scale="94" fitToHeight="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60</vt:i4>
      </vt:variant>
    </vt:vector>
  </HeadingPairs>
  <TitlesOfParts>
    <vt:vector size="82" baseType="lpstr">
      <vt:lpstr>Benefits Calc</vt:lpstr>
      <vt:lpstr>May 1, 2017</vt:lpstr>
      <vt:lpstr>May 1, 2018</vt:lpstr>
      <vt:lpstr>March 3, 2019</vt:lpstr>
      <vt:lpstr>May 1, 2019</vt:lpstr>
      <vt:lpstr>November 1, 2019</vt:lpstr>
      <vt:lpstr>April 30, 2020</vt:lpstr>
      <vt:lpstr>May 1, 2020</vt:lpstr>
      <vt:lpstr>May 1, 2021</vt:lpstr>
      <vt:lpstr>May 1, 2022</vt:lpstr>
      <vt:lpstr>January 1, 2023</vt:lpstr>
      <vt:lpstr>September 1, 2023</vt:lpstr>
      <vt:lpstr>January 1, 2024</vt:lpstr>
      <vt:lpstr>September 1, 2024</vt:lpstr>
      <vt:lpstr>1-1-2025</vt:lpstr>
      <vt:lpstr>4-30-2025</vt:lpstr>
      <vt:lpstr>1-1-2026</vt:lpstr>
      <vt:lpstr>1-1-2027</vt:lpstr>
      <vt:lpstr>Months</vt:lpstr>
      <vt:lpstr>Sheet2</vt:lpstr>
      <vt:lpstr>March 3, 2019 - old</vt:lpstr>
      <vt:lpstr>Notes</vt:lpstr>
      <vt:lpstr>'1-1-2026'!AddtlShoeAllowance</vt:lpstr>
      <vt:lpstr>'1-1-2027'!AddtlShoeAllowance</vt:lpstr>
      <vt:lpstr>'4-30-2025'!AddtlShoeAllowance</vt:lpstr>
      <vt:lpstr>AddtlShoeAllowance</vt:lpstr>
      <vt:lpstr>Data2025</vt:lpstr>
      <vt:lpstr>DataApr2025</vt:lpstr>
      <vt:lpstr>DataJan2025</vt:lpstr>
      <vt:lpstr>DataJan2026</vt:lpstr>
      <vt:lpstr>DataSep2024</vt:lpstr>
      <vt:lpstr>IncrPerc2018</vt:lpstr>
      <vt:lpstr>IncrPerc2018v2</vt:lpstr>
      <vt:lpstr>IncrPerc2020</vt:lpstr>
      <vt:lpstr>IncrPerc2021</vt:lpstr>
      <vt:lpstr>IncrPerc2022</vt:lpstr>
      <vt:lpstr>IncrPercApr2025</vt:lpstr>
      <vt:lpstr>'May 1, 2020'!IncrPercApril2020</vt:lpstr>
      <vt:lpstr>'May 1, 2021'!IncrPercApril2020</vt:lpstr>
      <vt:lpstr>IncrPercApril2020</vt:lpstr>
      <vt:lpstr>'May 1, 2020'!IncrPercApril2020v2</vt:lpstr>
      <vt:lpstr>'May 1, 2021'!IncrPercApril2020v2</vt:lpstr>
      <vt:lpstr>IncrPercApril2020v2</vt:lpstr>
      <vt:lpstr>IncrPercJan2023</vt:lpstr>
      <vt:lpstr>IncrPercJan2024</vt:lpstr>
      <vt:lpstr>IncrPercJan2025</vt:lpstr>
      <vt:lpstr>'1-1-2026'!IncrPercJan2026</vt:lpstr>
      <vt:lpstr>IncrPercJan2027</vt:lpstr>
      <vt:lpstr>IncrPercMarch2019</vt:lpstr>
      <vt:lpstr>IncrPercMarch2019v2</vt:lpstr>
      <vt:lpstr>IncrPercMay2019</vt:lpstr>
      <vt:lpstr>IncrPercMay2019v2</vt:lpstr>
      <vt:lpstr>'May 1, 2020'!IncrPercMay2020</vt:lpstr>
      <vt:lpstr>'May 1, 2021'!IncrPercMay2020</vt:lpstr>
      <vt:lpstr>IncrPercMay2020</vt:lpstr>
      <vt:lpstr>'May 1, 2020'!IncrPercMay2020v2</vt:lpstr>
      <vt:lpstr>IncrPercMay2020v2</vt:lpstr>
      <vt:lpstr>IncrPercNovember2019</vt:lpstr>
      <vt:lpstr>IncrPercNovember2019v2</vt:lpstr>
      <vt:lpstr>IncrPercSept2023</vt:lpstr>
      <vt:lpstr>IncrPercSept2024</vt:lpstr>
      <vt:lpstr>Months</vt:lpstr>
      <vt:lpstr>Rates2017</vt:lpstr>
      <vt:lpstr>Rates2018</vt:lpstr>
      <vt:lpstr>RatesApril2020</vt:lpstr>
      <vt:lpstr>RatesAugust2019</vt:lpstr>
      <vt:lpstr>RatesJan2023</vt:lpstr>
      <vt:lpstr>RatesJan2024</vt:lpstr>
      <vt:lpstr>RatesMarch2019</vt:lpstr>
      <vt:lpstr>RatesMay2017</vt:lpstr>
      <vt:lpstr>RatesMay2018</vt:lpstr>
      <vt:lpstr>RatesMay2019</vt:lpstr>
      <vt:lpstr>RatesMay2020</vt:lpstr>
      <vt:lpstr>ratesMay2021</vt:lpstr>
      <vt:lpstr>RatesMay2022</vt:lpstr>
      <vt:lpstr>RatesNovember2019</vt:lpstr>
      <vt:lpstr>RatesSept2023</vt:lpstr>
      <vt:lpstr>Schedules</vt:lpstr>
      <vt:lpstr>'1-1-2026'!ShoeAllowance</vt:lpstr>
      <vt:lpstr>'1-1-2027'!ShoeAllowance</vt:lpstr>
      <vt:lpstr>'4-30-2025'!ShoeAllowance</vt:lpstr>
      <vt:lpstr>ShoeAllowance</vt:lpstr>
    </vt:vector>
  </TitlesOfParts>
  <Manager/>
  <Company>City of Minneapolis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Electricians CEL Salary Schedule. From 2020-2024. Posted 5-23-2024</dc:title>
  <dc:subject/>
  <dc:creator>City of Minneapolis Human Resources, Classification and Compensation;Howatt, Erick S</dc:creator>
  <cp:keywords/>
  <dc:description/>
  <cp:lastModifiedBy>Stupeck, Marie (she/her/hers)</cp:lastModifiedBy>
  <cp:revision/>
  <dcterms:created xsi:type="dcterms:W3CDTF">2015-03-27T19:12:40Z</dcterms:created>
  <dcterms:modified xsi:type="dcterms:W3CDTF">2025-04-16T02:49:01Z</dcterms:modified>
  <cp:category/>
  <cp:contentStatus/>
</cp:coreProperties>
</file>