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fs001ia.ci.minneapolis.mn.us\Common\Human Resources\LABOR\1 (CMA) 77 Machinists\Salary Schedules\"/>
    </mc:Choice>
  </mc:AlternateContent>
  <xr:revisionPtr revIDLastSave="0" documentId="8_{EF1C053C-A564-4ACD-9A19-E94F7495BBBA}" xr6:coauthVersionLast="47" xr6:coauthVersionMax="47" xr10:uidLastSave="{00000000-0000-0000-0000-000000000000}"/>
  <workbookProtection lockStructure="1"/>
  <bookViews>
    <workbookView xWindow="-108" yWindow="-108" windowWidth="23256" windowHeight="12456" tabRatio="696" firstSheet="16" activeTab="18" xr2:uid="{00000000-000D-0000-FFFF-FFFF00000000}"/>
  </bookViews>
  <sheets>
    <sheet name="July 2017" sheetId="1" state="hidden" r:id="rId1"/>
    <sheet name="July 2018" sheetId="2" state="hidden" r:id="rId2"/>
    <sheet name="July 2019" sheetId="15" state="hidden" r:id="rId3"/>
    <sheet name="August 2019" sheetId="11" state="hidden" r:id="rId4"/>
    <sheet name="October 2019" sheetId="3" state="hidden" r:id="rId5"/>
    <sheet name="July 2020" sheetId="9" state="hidden" r:id="rId6"/>
    <sheet name="October 2020" sheetId="4" state="hidden" r:id="rId7"/>
    <sheet name="X 2021" sheetId="7" state="hidden" r:id="rId8"/>
    <sheet name="July 1 2021" sheetId="6" state="hidden" r:id="rId9"/>
    <sheet name="July 2021" sheetId="12" state="hidden" r:id="rId10"/>
    <sheet name="October 2021" sheetId="10" state="hidden" r:id="rId11"/>
    <sheet name="July 2022" sheetId="16" state="hidden" r:id="rId12"/>
    <sheet name="October 2022" sheetId="18" state="hidden" r:id="rId13"/>
    <sheet name="July 2023" sheetId="17" state="hidden" r:id="rId14"/>
    <sheet name="October 2023" sheetId="19" state="hidden" r:id="rId15"/>
    <sheet name="July 2024" sheetId="20" r:id="rId16"/>
    <sheet name="October 2024" sheetId="26" r:id="rId17"/>
    <sheet name="July 2025" sheetId="23" r:id="rId18"/>
    <sheet name="October 2025" sheetId="27" r:id="rId19"/>
    <sheet name="July 2026" sheetId="24" r:id="rId20"/>
    <sheet name="October 2026" sheetId="28" r:id="rId21"/>
    <sheet name="Notes" sheetId="5" state="hidden" r:id="rId22"/>
    <sheet name="Summary" sheetId="13" state="hidden" r:id="rId23"/>
  </sheets>
  <definedNames>
    <definedName name="COLA2024">'July 2024'!$T$2</definedName>
    <definedName name="IncrPerc2021">'X 2021'!$Q$1</definedName>
    <definedName name="July2021IncrPerc">'July 2021'!$P$1</definedName>
    <definedName name="July2022IncrPerc" localSheetId="13">'July 2023'!$P$1</definedName>
    <definedName name="July2022IncrPerc" localSheetId="12">'October 2022'!$P$1</definedName>
    <definedName name="July2022IncrPerc" localSheetId="14">'October 2023'!$P$1</definedName>
    <definedName name="July2022IncrPerc">'July 2022'!$P$1</definedName>
    <definedName name="July2023IncrPerc" localSheetId="14">'October 2023'!$P$1</definedName>
    <definedName name="July2023IncrPerc">'July 2023'!$P$1</definedName>
    <definedName name="July2024IncrPerc">'July 2024'!$Q$2</definedName>
    <definedName name="July2025IncrPerc">'July 2025'!$Q$2</definedName>
    <definedName name="July2026IncrPerc" localSheetId="18">'October 2025'!$Q$2</definedName>
    <definedName name="July2026IncrPerc" localSheetId="20">'October 2026'!$Q$2</definedName>
    <definedName name="July2026IncrPerc">'July 2026'!$Q$2</definedName>
    <definedName name="MktAdj2024">'July 2024'!$T$2</definedName>
    <definedName name="Oct2024IncrPerc">'October 2024'!$Q$2</definedName>
    <definedName name="Oct2025IncrPerc">'October 2025'!$Q$2</definedName>
    <definedName name="Pension2023">'October 2023'!$Q$12</definedName>
    <definedName name="Pension2024">'July 2024'!$R$15</definedName>
    <definedName name="Pension2026" localSheetId="20">'October 2026'!$R$15</definedName>
    <definedName name="Pension2026">'July 2026'!$R$15</definedName>
    <definedName name="PensionOct2024">'October 2024'!$R$15</definedName>
    <definedName name="PensionOct2025">'October 2025'!$R$15</definedName>
    <definedName name="PensionOct2026">'October 2026'!$R$15</definedName>
    <definedName name="_xlnm.Print_Area" localSheetId="3">'August 2019'!$A$1:$M$28</definedName>
    <definedName name="_xlnm.Print_Area" localSheetId="8">'July 1 2021'!$A$1:$L$27</definedName>
    <definedName name="_xlnm.Print_Area" localSheetId="0">'July 2017'!$C$1:$M$23</definedName>
    <definedName name="_xlnm.Print_Area" localSheetId="1">'July 2018'!$A$1:$L$27</definedName>
    <definedName name="_xlnm.Print_Area" localSheetId="2">'July 2019'!$A$1:$M$28</definedName>
    <definedName name="_xlnm.Print_Area" localSheetId="5">'July 2020'!$A$1:$M$28</definedName>
    <definedName name="_xlnm.Print_Area" localSheetId="9">'July 2021'!$A$1:$L$27</definedName>
    <definedName name="_xlnm.Print_Area" localSheetId="11">'July 2022'!$A$1:$L$27</definedName>
    <definedName name="_xlnm.Print_Area" localSheetId="13">'July 2023'!$A$1:$L$27</definedName>
    <definedName name="_xlnm.Print_Area" localSheetId="4">'October 2019'!$A$1:$M$28</definedName>
    <definedName name="_xlnm.Print_Area" localSheetId="6">'October 2020'!$A$1:$L$27</definedName>
    <definedName name="_xlnm.Print_Area" localSheetId="10">'October 2021'!$A$1:$L$27</definedName>
    <definedName name="_xlnm.Print_Area" localSheetId="12">'October 2022'!$A$1:$L$27</definedName>
    <definedName name="_xlnm.Print_Area" localSheetId="14">'October 2023'!$A$1:$L$27</definedName>
    <definedName name="_xlnm.Print_Area" localSheetId="7">'X 2021'!$A$1:$L$27</definedName>
    <definedName name="Rates2020" localSheetId="9">'July 2021'!$O$8:$Q$26</definedName>
    <definedName name="Rates2020" localSheetId="11">'July 2022'!$O$8:$Q$26</definedName>
    <definedName name="Rates2020" localSheetId="13">'July 2023'!$O$8:$Q$26</definedName>
    <definedName name="Rates2020" localSheetId="10">'October 2021'!$O$8:$Q$26</definedName>
    <definedName name="Rates2020" localSheetId="12">'October 2022'!$O$8:$Q$26</definedName>
    <definedName name="Rates2020" localSheetId="14">'October 2023'!$O$8:$Q$26</definedName>
    <definedName name="Rates2020">'October 2020'!$O$8:$Q$26</definedName>
    <definedName name="RatesJuly2024">'July 2024'!$O$11:$V$24</definedName>
    <definedName name="RatesJuly2025">'July 2025'!$O$11:$V$24</definedName>
    <definedName name="RatesJuly2026">'July 2026'!$O$10:$W$24</definedName>
    <definedName name="RatesOct2023">'October 2023'!$O$8:$R$28</definedName>
    <definedName name="RatesOct2024">'October 2024'!$O$10:$W$25</definedName>
    <definedName name="RatesOct2025">'October 2025'!$O$10:$W$25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8" i="23" l="1"/>
  <c r="Z15" i="28"/>
  <c r="Y15" i="28"/>
  <c r="X9" i="28"/>
  <c r="A6" i="28"/>
  <c r="A6" i="24"/>
  <c r="A6" i="27"/>
  <c r="A6" i="23"/>
  <c r="A6" i="26"/>
  <c r="R15" i="24" l="1"/>
  <c r="X24" i="28"/>
  <c r="X23" i="28"/>
  <c r="X22" i="28"/>
  <c r="X21" i="28"/>
  <c r="B15" i="28"/>
  <c r="Y12" i="28"/>
  <c r="X12" i="28"/>
  <c r="Q12" i="28"/>
  <c r="O12" i="28"/>
  <c r="S10" i="28"/>
  <c r="T10" i="28" s="1"/>
  <c r="U10" i="28" s="1"/>
  <c r="V10" i="28" s="1"/>
  <c r="A7" i="28"/>
  <c r="R15" i="23"/>
  <c r="B15" i="23" s="1"/>
  <c r="X24" i="27"/>
  <c r="X23" i="27"/>
  <c r="X22" i="27"/>
  <c r="X21" i="27"/>
  <c r="B15" i="27"/>
  <c r="Y12" i="27"/>
  <c r="X12" i="27"/>
  <c r="Q12" i="27"/>
  <c r="O12" i="27"/>
  <c r="S10" i="27"/>
  <c r="T10" i="27" s="1"/>
  <c r="U10" i="27" s="1"/>
  <c r="V10" i="27" s="1"/>
  <c r="A7" i="27"/>
  <c r="A2" i="27"/>
  <c r="X24" i="26"/>
  <c r="X23" i="26"/>
  <c r="X22" i="26"/>
  <c r="X21" i="26"/>
  <c r="B15" i="26"/>
  <c r="Y12" i="26"/>
  <c r="X12" i="26"/>
  <c r="Q12" i="26"/>
  <c r="O12" i="26"/>
  <c r="S10" i="26"/>
  <c r="T10" i="26" s="1"/>
  <c r="U10" i="26" s="1"/>
  <c r="V10" i="26" s="1"/>
  <c r="A7" i="26"/>
  <c r="A3" i="26"/>
  <c r="A2" i="26"/>
  <c r="A6" i="20"/>
  <c r="A7" i="24"/>
  <c r="A7" i="23"/>
  <c r="X24" i="24"/>
  <c r="X23" i="24"/>
  <c r="X22" i="24"/>
  <c r="X21" i="24"/>
  <c r="Y12" i="24"/>
  <c r="X12" i="24"/>
  <c r="X24" i="23"/>
  <c r="X23" i="23"/>
  <c r="X22" i="23"/>
  <c r="X21" i="23"/>
  <c r="Y12" i="23"/>
  <c r="X12" i="23"/>
  <c r="X22" i="20"/>
  <c r="X23" i="20"/>
  <c r="X24" i="20"/>
  <c r="X21" i="20"/>
  <c r="Y12" i="20"/>
  <c r="X12" i="20"/>
  <c r="A8" i="24"/>
  <c r="A3" i="23"/>
  <c r="A3" i="24" s="1"/>
  <c r="A2" i="23"/>
  <c r="A2" i="24" s="1"/>
  <c r="Q12" i="24"/>
  <c r="O12" i="24"/>
  <c r="S10" i="24"/>
  <c r="T10" i="24" s="1"/>
  <c r="U10" i="24" s="1"/>
  <c r="V10" i="24" s="1"/>
  <c r="S10" i="23"/>
  <c r="T10" i="23" s="1"/>
  <c r="U10" i="23" s="1"/>
  <c r="V10" i="23" s="1"/>
  <c r="Q12" i="23"/>
  <c r="O12" i="23"/>
  <c r="A5" i="24" a="1"/>
  <c r="A5" i="23" a="1"/>
  <c r="A3" i="28" l="1"/>
  <c r="A3" i="27"/>
  <c r="A2" i="28"/>
  <c r="A8" i="28"/>
  <c r="A8" i="27"/>
  <c r="B15" i="24"/>
  <c r="A5" i="24"/>
  <c r="A5" i="23"/>
  <c r="B15" i="20" l="1"/>
  <c r="Q2" i="20"/>
  <c r="U12" i="20" s="1"/>
  <c r="Q12" i="20"/>
  <c r="O12" i="20"/>
  <c r="U12" i="26"/>
  <c r="V12" i="20" l="1"/>
  <c r="L12" i="20"/>
  <c r="AC12" i="20"/>
  <c r="T12" i="20"/>
  <c r="P9" i="19"/>
  <c r="O9" i="19"/>
  <c r="C26" i="18"/>
  <c r="Q26" i="18" s="1"/>
  <c r="C25" i="18"/>
  <c r="Q25" i="18" s="1"/>
  <c r="C24" i="18"/>
  <c r="Q24" i="18" s="1"/>
  <c r="C23" i="18"/>
  <c r="Q23" i="18" s="1"/>
  <c r="P9" i="18"/>
  <c r="O9" i="18"/>
  <c r="I9" i="12"/>
  <c r="I9" i="10" s="1"/>
  <c r="P9" i="17"/>
  <c r="O9" i="17"/>
  <c r="C24" i="16"/>
  <c r="C25" i="16"/>
  <c r="C26" i="16"/>
  <c r="C23" i="16"/>
  <c r="C24" i="10"/>
  <c r="C25" i="10"/>
  <c r="C26" i="10"/>
  <c r="C23" i="10"/>
  <c r="P9" i="16"/>
  <c r="O9" i="16"/>
  <c r="T12" i="26"/>
  <c r="U12" i="23" a="1"/>
  <c r="V12" i="26"/>
  <c r="U12" i="23" l="1"/>
  <c r="AC12" i="23" s="1"/>
  <c r="AB12" i="20"/>
  <c r="K12" i="20"/>
  <c r="S12" i="20"/>
  <c r="M12" i="20"/>
  <c r="AD12" i="20"/>
  <c r="Q25" i="16"/>
  <c r="Q24" i="16"/>
  <c r="Q23" i="16"/>
  <c r="Q26" i="16"/>
  <c r="C26" i="19"/>
  <c r="Q26" i="19" s="1"/>
  <c r="C23" i="19"/>
  <c r="Q23" i="19" s="1"/>
  <c r="C24" i="19"/>
  <c r="Q24" i="19" s="1"/>
  <c r="C25" i="19"/>
  <c r="Q25" i="19" s="1"/>
  <c r="C26" i="17"/>
  <c r="Q26" i="17" s="1"/>
  <c r="C25" i="17"/>
  <c r="Q25" i="17" s="1"/>
  <c r="C24" i="17"/>
  <c r="Q24" i="17" s="1"/>
  <c r="C23" i="17"/>
  <c r="Q23" i="17" s="1"/>
  <c r="I9" i="16"/>
  <c r="B4" i="13"/>
  <c r="B6" i="13" s="1"/>
  <c r="B7" i="13" s="1"/>
  <c r="B8" i="13" s="1"/>
  <c r="B9" i="13" s="1"/>
  <c r="B10" i="13" s="1"/>
  <c r="U12" i="27" a="1"/>
  <c r="R22" i="20" a="1"/>
  <c r="R24" i="20" a="1"/>
  <c r="T12" i="23" a="1"/>
  <c r="R21" i="20" a="1"/>
  <c r="V12" i="23" a="1"/>
  <c r="R23" i="20" a="1"/>
  <c r="S12" i="26"/>
  <c r="L12" i="23" l="1"/>
  <c r="T12" i="23"/>
  <c r="AB12" i="23" s="1"/>
  <c r="U12" i="27"/>
  <c r="AC12" i="27" s="1"/>
  <c r="V12" i="23"/>
  <c r="R22" i="20"/>
  <c r="R23" i="20"/>
  <c r="R21" i="20"/>
  <c r="R24" i="20"/>
  <c r="AA12" i="20"/>
  <c r="J12" i="20"/>
  <c r="R12" i="20"/>
  <c r="M12" i="23"/>
  <c r="AD12" i="23"/>
  <c r="I9" i="18"/>
  <c r="Q9" i="16"/>
  <c r="Q26" i="12"/>
  <c r="Q25" i="12"/>
  <c r="Q24" i="12"/>
  <c r="Q23" i="12"/>
  <c r="P9" i="12"/>
  <c r="O9" i="12"/>
  <c r="U12" i="24" a="1"/>
  <c r="T12" i="27" a="1"/>
  <c r="S12" i="23" a="1"/>
  <c r="V12" i="27" a="1"/>
  <c r="R12" i="26"/>
  <c r="R12" i="23" a="1"/>
  <c r="K12" i="23" l="1"/>
  <c r="U12" i="24"/>
  <c r="AC12" i="24" s="1"/>
  <c r="V12" i="27"/>
  <c r="AD12" i="27" s="1"/>
  <c r="T12" i="27"/>
  <c r="K12" i="27" s="1"/>
  <c r="S12" i="23"/>
  <c r="AA12" i="23" s="1"/>
  <c r="L12" i="27"/>
  <c r="R12" i="23"/>
  <c r="C23" i="20"/>
  <c r="Z23" i="20"/>
  <c r="Z24" i="20"/>
  <c r="C24" i="20"/>
  <c r="C21" i="20"/>
  <c r="Z21" i="20"/>
  <c r="Z22" i="20"/>
  <c r="C22" i="20"/>
  <c r="Z12" i="20"/>
  <c r="I12" i="20"/>
  <c r="P9" i="11"/>
  <c r="O9" i="11"/>
  <c r="P9" i="3"/>
  <c r="O9" i="3"/>
  <c r="C26" i="11"/>
  <c r="Q26" i="11" s="1"/>
  <c r="C25" i="11"/>
  <c r="Q25" i="11" s="1"/>
  <c r="C24" i="11"/>
  <c r="Q24" i="11" s="1"/>
  <c r="C23" i="11"/>
  <c r="Q23" i="11" s="1"/>
  <c r="Q26" i="10"/>
  <c r="Q25" i="10"/>
  <c r="Q24" i="10"/>
  <c r="Q23" i="10"/>
  <c r="P9" i="10"/>
  <c r="O9" i="10"/>
  <c r="S12" i="27" a="1"/>
  <c r="R12" i="27" a="1"/>
  <c r="T12" i="24" a="1"/>
  <c r="U12" i="28" a="1"/>
  <c r="V12" i="24" a="1"/>
  <c r="AB12" i="27" l="1"/>
  <c r="J12" i="23"/>
  <c r="V12" i="24"/>
  <c r="AD12" i="24" s="1"/>
  <c r="S12" i="27"/>
  <c r="AA12" i="27" s="1"/>
  <c r="T12" i="24"/>
  <c r="AB12" i="24" s="1"/>
  <c r="U12" i="28"/>
  <c r="AC12" i="28" s="1"/>
  <c r="M12" i="27"/>
  <c r="L12" i="24"/>
  <c r="R12" i="27"/>
  <c r="Z12" i="23"/>
  <c r="I12" i="23"/>
  <c r="P9" i="9"/>
  <c r="O9" i="9"/>
  <c r="S12" i="24" a="1"/>
  <c r="T12" i="28" a="1"/>
  <c r="R12" i="24" a="1"/>
  <c r="V12" i="28" a="1"/>
  <c r="M12" i="24" l="1"/>
  <c r="J12" i="27"/>
  <c r="L12" i="28"/>
  <c r="T12" i="28"/>
  <c r="AB12" i="28" s="1"/>
  <c r="S12" i="24"/>
  <c r="J12" i="24" s="1"/>
  <c r="V12" i="28"/>
  <c r="M12" i="28" s="1"/>
  <c r="K12" i="24"/>
  <c r="R12" i="24"/>
  <c r="Z12" i="27"/>
  <c r="I12" i="27"/>
  <c r="C26" i="9"/>
  <c r="Q26" i="9" s="1"/>
  <c r="C25" i="9"/>
  <c r="Q25" i="9" s="1"/>
  <c r="C24" i="9"/>
  <c r="Q24" i="9" s="1"/>
  <c r="C23" i="9"/>
  <c r="Q23" i="9" s="1"/>
  <c r="R12" i="28" a="1"/>
  <c r="S12" i="28" a="1"/>
  <c r="AD12" i="28" l="1"/>
  <c r="K12" i="28"/>
  <c r="S12" i="28"/>
  <c r="J12" i="28" s="1"/>
  <c r="AA12" i="24"/>
  <c r="Z12" i="24"/>
  <c r="I12" i="24"/>
  <c r="R12" i="28"/>
  <c r="C26" i="7"/>
  <c r="Q26" i="7" s="1"/>
  <c r="C25" i="7"/>
  <c r="Q25" i="7" s="1"/>
  <c r="C24" i="7"/>
  <c r="Q24" i="7" s="1"/>
  <c r="C23" i="7"/>
  <c r="Q23" i="7" s="1"/>
  <c r="P9" i="4"/>
  <c r="O9" i="4"/>
  <c r="AA12" i="28" l="1"/>
  <c r="Z12" i="28"/>
  <c r="I12" i="28"/>
  <c r="C26" i="6"/>
  <c r="C25" i="6"/>
  <c r="C24" i="6"/>
  <c r="C23" i="6"/>
  <c r="I9" i="2" l="1"/>
  <c r="I9" i="15" l="1"/>
  <c r="I9" i="11"/>
  <c r="C26" i="4"/>
  <c r="Q26" i="4" s="1"/>
  <c r="C25" i="4"/>
  <c r="Q25" i="4" s="1"/>
  <c r="C24" i="4"/>
  <c r="Q24" i="4" s="1"/>
  <c r="C23" i="4"/>
  <c r="Q23" i="4" s="1"/>
  <c r="C26" i="3"/>
  <c r="Q26" i="3" s="1"/>
  <c r="C25" i="3"/>
  <c r="Q25" i="3" s="1"/>
  <c r="C24" i="3"/>
  <c r="Q24" i="3" s="1"/>
  <c r="C23" i="3"/>
  <c r="Q23" i="3" s="1"/>
  <c r="C26" i="2"/>
  <c r="C26" i="15" s="1"/>
  <c r="C25" i="2"/>
  <c r="C25" i="15" s="1"/>
  <c r="C24" i="2"/>
  <c r="C24" i="15" s="1"/>
  <c r="C23" i="2"/>
  <c r="C23" i="15" s="1"/>
  <c r="Q9" i="11" l="1"/>
  <c r="I9" i="3"/>
  <c r="I9" i="9" l="1"/>
  <c r="Q9" i="3"/>
  <c r="T9" i="9"/>
  <c r="I9" i="7"/>
  <c r="I9" i="4" l="1"/>
  <c r="Q9" i="9"/>
  <c r="U9" i="9"/>
  <c r="U10" i="9" s="1"/>
  <c r="U11" i="9" s="1"/>
  <c r="U12" i="9" s="1"/>
  <c r="T10" i="9"/>
  <c r="T11" i="9" s="1"/>
  <c r="T12" i="9" s="1"/>
  <c r="Q9" i="4" l="1"/>
  <c r="Q9" i="7" s="1"/>
  <c r="I9" i="6"/>
  <c r="Q9" i="12" l="1"/>
  <c r="Q9" i="10"/>
  <c r="Q9" i="18" l="1"/>
  <c r="I9" i="17"/>
  <c r="Q9" i="17" l="1"/>
  <c r="I9" i="19"/>
  <c r="Q9" i="19" s="1"/>
  <c r="R22" i="26" a="1"/>
  <c r="R22" i="26" l="1"/>
  <c r="R22" i="23" a="1"/>
  <c r="R24" i="26" a="1"/>
  <c r="R22" i="23" l="1"/>
  <c r="C22" i="26"/>
  <c r="R24" i="26"/>
  <c r="Z22" i="26"/>
  <c r="R24" i="23" a="1"/>
  <c r="R23" i="26" a="1"/>
  <c r="R22" i="27" a="1"/>
  <c r="R24" i="23" l="1"/>
  <c r="R22" i="27"/>
  <c r="Z24" i="26"/>
  <c r="C22" i="23"/>
  <c r="Z22" i="23"/>
  <c r="C24" i="26"/>
  <c r="R23" i="26"/>
  <c r="R23" i="23" a="1"/>
  <c r="R24" i="27" a="1"/>
  <c r="R22" i="24" a="1"/>
  <c r="R21" i="26" a="1"/>
  <c r="R22" i="24" l="1"/>
  <c r="C22" i="24" s="1"/>
  <c r="R23" i="23"/>
  <c r="R24" i="27"/>
  <c r="Z22" i="27"/>
  <c r="C22" i="27"/>
  <c r="C23" i="26"/>
  <c r="Z24" i="23"/>
  <c r="C24" i="23"/>
  <c r="Z23" i="26"/>
  <c r="R21" i="26"/>
  <c r="R21" i="23" a="1"/>
  <c r="R23" i="27" a="1"/>
  <c r="R22" i="28" a="1"/>
  <c r="R24" i="24" a="1"/>
  <c r="Z22" i="24" l="1"/>
  <c r="R22" i="28"/>
  <c r="R24" i="24"/>
  <c r="C24" i="24" s="1"/>
  <c r="R21" i="23"/>
  <c r="R23" i="27"/>
  <c r="Z24" i="27"/>
  <c r="C24" i="27"/>
  <c r="C21" i="26"/>
  <c r="C23" i="23"/>
  <c r="Z23" i="23"/>
  <c r="Z21" i="26"/>
  <c r="Z12" i="26"/>
  <c r="I12" i="26"/>
  <c r="R21" i="27" a="1"/>
  <c r="R23" i="24" a="1"/>
  <c r="R24" i="28" a="1"/>
  <c r="Z24" i="24" l="1"/>
  <c r="R24" i="28"/>
  <c r="Z22" i="28"/>
  <c r="C22" i="28"/>
  <c r="R23" i="24"/>
  <c r="Z23" i="24" s="1"/>
  <c r="R21" i="27"/>
  <c r="C23" i="27"/>
  <c r="Z23" i="27"/>
  <c r="C21" i="23"/>
  <c r="Z21" i="23"/>
  <c r="AA12" i="26"/>
  <c r="J12" i="26"/>
  <c r="R23" i="28" a="1"/>
  <c r="R21" i="24" a="1"/>
  <c r="C23" i="24" l="1"/>
  <c r="R23" i="28"/>
  <c r="Z24" i="28"/>
  <c r="C24" i="28"/>
  <c r="R21" i="24"/>
  <c r="C21" i="24" s="1"/>
  <c r="Z21" i="27"/>
  <c r="C21" i="27"/>
  <c r="AB12" i="26"/>
  <c r="K12" i="26"/>
  <c r="R21" i="28" a="1"/>
  <c r="Z21" i="24" l="1"/>
  <c r="R21" i="28"/>
  <c r="C23" i="28"/>
  <c r="Z23" i="28"/>
  <c r="M12" i="26"/>
  <c r="AD12" i="26"/>
  <c r="C21" i="28" l="1"/>
  <c r="Z21" i="28"/>
  <c r="L12" i="26"/>
  <c r="AC12" i="2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Nelmspk0</author>
  </authors>
  <commentList>
    <comment ref="A2" authorId="0" shapeId="0" xr:uid="{00000000-0006-0000-0000-000001000000}">
      <text>
        <r>
          <rPr>
            <b/>
            <sz val="8"/>
            <color indexed="81"/>
            <rFont val="Tahoma"/>
            <family val="2"/>
          </rPr>
          <t>Nelmspk0:</t>
        </r>
        <r>
          <rPr>
            <sz val="8"/>
            <color indexed="81"/>
            <rFont val="Tahoma"/>
            <family val="2"/>
          </rPr>
          <t xml:space="preserve">
Effective on the start of the first full pay period that includes July 1, 2017:
Increase the wage rate and the longevity scale by 2.5%. 
In addition, the city will continue to contribute $0.40 ($0.40 total to the pension fund) to the supplemental pension fund. If the City is notified of an increase to the fund contribution, the wage rates will be reduced to afford that cost. 
The calculation is: first add back the wage concession value/reduction of $.40 per hour, multiply that number by 1.025, then subtract the $0.40 per hour wage reduction for the supplemental pension. 
Note the tool allowance was rolled into the base wage in 2015.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<sst xmlns="http://schemas.openxmlformats.org/spreadsheetml/2006/main" count="1063" uniqueCount="154">
  <si>
    <t>Machinists (CMA)</t>
  </si>
  <si>
    <t>Effective at the start of the first full pay period that includes July 1, 2017:</t>
  </si>
  <si>
    <t>Employer Contribution to IAM National Pension Fund = $0.40 per hour.</t>
  </si>
  <si>
    <t>Job Code</t>
  </si>
  <si>
    <t>Salary Grade</t>
  </si>
  <si>
    <t>FLSA &amp; OT</t>
  </si>
  <si>
    <t>CLASSIFICATION</t>
  </si>
  <si>
    <t>PTS</t>
  </si>
  <si>
    <t>G</t>
  </si>
  <si>
    <t>P</t>
  </si>
  <si>
    <t>Step 1</t>
  </si>
  <si>
    <t>06460C</t>
  </si>
  <si>
    <t>01</t>
  </si>
  <si>
    <t>N-2</t>
  </si>
  <si>
    <t>Machinist-C</t>
  </si>
  <si>
    <t>H</t>
  </si>
  <si>
    <r>
      <rPr>
        <b/>
        <sz val="10"/>
        <rFont val="Arial"/>
        <family val="2"/>
      </rPr>
      <t>Provided that</t>
    </r>
    <r>
      <rPr>
        <sz val="10"/>
        <rFont val="Arial"/>
        <family val="2"/>
      </rPr>
      <t xml:space="preserve"> in addition to the wage rate above, eligible employees will have $0.40 per hour contributed</t>
    </r>
  </si>
  <si>
    <t xml:space="preserve"> to the IAM supplemental pension fund on their behalf.</t>
  </si>
  <si>
    <r>
      <rPr>
        <b/>
        <sz val="10"/>
        <rFont val="Arial"/>
        <family val="2"/>
      </rPr>
      <t>Provided that</t>
    </r>
    <r>
      <rPr>
        <sz val="10"/>
        <rFont val="Arial"/>
        <family val="2"/>
      </rPr>
      <t xml:space="preserve"> a premium of forty cents ($.40) per hour shall be paid on a “when performed” basis for all time worked in </t>
    </r>
  </si>
  <si>
    <t xml:space="preserve">a confined space or on a scaffold.  "Confined space" is the environment as defined by current OSHA Standards. </t>
  </si>
  <si>
    <t xml:space="preserve">A "Scaffold" is a permanent or temporary scaffold over fifteen (15) feet, or an overhead crane.  </t>
  </si>
  <si>
    <r>
      <rPr>
        <b/>
        <sz val="10"/>
        <rFont val="Arial"/>
        <family val="2"/>
      </rPr>
      <t>Provided that</t>
    </r>
    <r>
      <rPr>
        <sz val="10"/>
        <rFont val="Arial"/>
        <family val="2"/>
      </rPr>
      <t xml:space="preserve"> employees in this section shall receive the following hourly longevity.</t>
    </r>
  </si>
  <si>
    <t>These payments shall be based on a maximum of 80 hours bi-weekly.</t>
  </si>
  <si>
    <t>per hour additional at the beginning of the 10th year of service.</t>
  </si>
  <si>
    <t>per hour additional at the beginning of the 15th year of service.</t>
  </si>
  <si>
    <t>per hour additional at the beginning of the 20th year of service.</t>
  </si>
  <si>
    <t>per hour additional at the beginning of the 25th year of service.</t>
  </si>
  <si>
    <t>Effective July 1, 2018:</t>
  </si>
  <si>
    <t>Effective July 1, 2020:</t>
  </si>
  <si>
    <t>Machinist</t>
  </si>
  <si>
    <t>International Association of Machinist and Aerospace Workers, District Lodge 77, AFL-CIO</t>
  </si>
  <si>
    <t>Appendix "A"</t>
  </si>
  <si>
    <t>Job Title</t>
  </si>
  <si>
    <t xml:space="preserve">A "confined space" is the environment as defined by current OSHA Standards. </t>
  </si>
  <si>
    <t xml:space="preserve">A "scaffold" is a permanent or temporary scaffold over fifteen (15) feet, or an overhead crane.  </t>
  </si>
  <si>
    <r>
      <rPr>
        <b/>
        <sz val="10"/>
        <rFont val="Arial"/>
        <family val="2"/>
      </rPr>
      <t>Provided that</t>
    </r>
    <r>
      <rPr>
        <sz val="10"/>
        <rFont val="Arial"/>
        <family val="2"/>
      </rPr>
      <t xml:space="preserve"> a premium of forty cents ($.40) per hour shall be paid on a “when performed” basis for all </t>
    </r>
  </si>
  <si>
    <t xml:space="preserve">time-worked in a confined space or on a scaffold.  </t>
  </si>
  <si>
    <r>
      <t xml:space="preserve">Safety Shoe/Boot Allowance: </t>
    </r>
    <r>
      <rPr>
        <sz val="10"/>
        <rFont val="Calibri"/>
        <family val="2"/>
        <scheme val="minor"/>
      </rPr>
      <t>Effective 7/1/2018 safety shoes/boot allowance reimbursement was discontinued</t>
    </r>
  </si>
  <si>
    <t xml:space="preserve"> as the dollars for the program are now included within the hourly wages.</t>
  </si>
  <si>
    <t>Brenda</t>
  </si>
  <si>
    <t>Effective on July 1, 2020:
Increase the wage rate by 2.5%  per hour. 
Longevity pay = no change. 
The city will continue to contribute $0.42 to the supplemental pension fund. If the City is notified of an increase to the fund contribution, the wage rates will be reduced to afford that cost. 
The calculation is: first add back the wage concession value/reduction of $.42 per hour, multiply that number by the wage increase percent  (1.025), then subtract the $0.42 per hour wage reduction for the supplemental pension. 
Note the tool allowance was rolled into the base wage in 2015 and the safety shoe/boot allowance was rolled into the base wage in 2018.</t>
  </si>
  <si>
    <t>Effective on July 1, 2021:
Increase the wage rate by 2.5%  per hour. 
Longevity pay = no change. 
The city will continue to contribute $0.43 to the supplemental pension fund. If the City is notified of an increase to the fund contribution, the wage rates will be reduced to afford that cost. 
The calculation is: first add back the wage concession value/reduction of $.43 per hour, multiply that number by the wage increase percent  (1.025), then subtract the $0.43 per hour wage reduction for the supplemental pension. 
Note the tool allowance was rolled into the base wage in 2015 and the safety shoe/boot allowance was rolled into the base wage in 2018.</t>
  </si>
  <si>
    <r>
      <rPr>
        <b/>
        <sz val="10"/>
        <rFont val="Arial"/>
        <family val="2"/>
      </rPr>
      <t>Provided that</t>
    </r>
    <r>
      <rPr>
        <sz val="10"/>
        <rFont val="Arial"/>
        <family val="2"/>
      </rPr>
      <t xml:space="preserve"> in addition to the wage rate above, eligible employees will have $0.41 per hour contributed</t>
    </r>
  </si>
  <si>
    <r>
      <rPr>
        <b/>
        <sz val="10"/>
        <rFont val="Arial"/>
        <family val="2"/>
      </rPr>
      <t>Provided that</t>
    </r>
    <r>
      <rPr>
        <sz val="10"/>
        <rFont val="Arial"/>
        <family val="2"/>
      </rPr>
      <t xml:space="preserve"> in addition to the wage rate above, eligible employees will have $0.42 per hour contributed</t>
    </r>
  </si>
  <si>
    <r>
      <rPr>
        <b/>
        <sz val="10"/>
        <rFont val="Arial"/>
        <family val="2"/>
      </rPr>
      <t>Provided that</t>
    </r>
    <r>
      <rPr>
        <sz val="10"/>
        <rFont val="Arial"/>
        <family val="2"/>
      </rPr>
      <t xml:space="preserve"> in addition to the wage rate above, eligible employees will have $0.43 per hour contributed</t>
    </r>
  </si>
  <si>
    <t>Class Grade</t>
  </si>
  <si>
    <t>Pay Type</t>
  </si>
  <si>
    <t>Effective July 1, 2021:</t>
  </si>
  <si>
    <t>Employer Contribution to IAM National Pension Fund = $0.42 per hour.</t>
  </si>
  <si>
    <t>Employer Contribution to IAM National Pension Fund = $0.41 per hour.</t>
  </si>
  <si>
    <t>Employer Contribution to IAM National Pension Fund = $0.43 per hour.</t>
  </si>
  <si>
    <t>Effective August 19, 2019:</t>
  </si>
  <si>
    <t>Effective on August 19, 2019:
Increase the wage rate by 2.5%  per hour. 
Longevity pay = no change. 
The city will continue to contribute $0.41 to the supplemental pension fund. If the City is notified of an increase to the fund contribution, the wage rates will be reduced to afford that cost. 
The calculation is: first add back the wage concession value/reduction of $.41 per hour, multiply that number by the wage increase percent  (1.025), then subtract the $0.41 per hour wage reduction for the supplemental pension. 
Note the tool allowance was rolled into the base wage in 2015 and the safety shoe/boot allowance was rolled into the base wage in 2018.</t>
  </si>
  <si>
    <t>Effective on July 1, 2018:
Increase the wage rate by 2.45% plus add 1 cent per hour (tools) and 7 cents per hour (eliminate boot allowance)
Longevity pay will increase as follows: 10 years = + 0.04 per hour; 15 years =+ 0.03 per hour; 20 years =+ 0.03 per hour; 25 years = + 0.03 per hour. 
The city will continue to contribute $0.40 to the supplemental pension fund. If the City is notified of an increase to the fund contribution, the wage rates will be reduced to afford that cost. 
The calculation is: first add back the wage concession value/reduction of $.40 per hour, multiply that number by the wage increase % (1.0245), then subtract the $0.40 per hour wage reduction for the supplemental pension. 
Note the tool allowance was rolled into the base wage in 2015 and the safety shoe/boot allowance was rolled into the base wage in 2018 ($0.07 per hour)</t>
  </si>
  <si>
    <t>?</t>
  </si>
  <si>
    <t>Pam Nelms</t>
  </si>
  <si>
    <t>Completed audit of 8/2019 rates against PeopleSoft rates</t>
  </si>
  <si>
    <t>CMACNF</t>
  </si>
  <si>
    <t>TL-Confined Space Entry-CMA</t>
  </si>
  <si>
    <t>Grade</t>
  </si>
  <si>
    <t>Rate</t>
  </si>
  <si>
    <t>CMASCF</t>
  </si>
  <si>
    <t>TL-Scaffold Premium-CMA</t>
  </si>
  <si>
    <t>10th</t>
  </si>
  <si>
    <t>15th</t>
  </si>
  <si>
    <t>20th</t>
  </si>
  <si>
    <t>25th</t>
  </si>
  <si>
    <r>
      <t xml:space="preserve">Safety Shoe/Boot Allowance: </t>
    </r>
    <r>
      <rPr>
        <sz val="10"/>
        <rFont val="Arial"/>
        <family val="2"/>
      </rPr>
      <t>Effective 7/1/2018 safety shoes/boot allowance reimbursement was discontinued</t>
    </r>
  </si>
  <si>
    <t>IncrPerc2021</t>
  </si>
  <si>
    <t>Emplr Pens Contrib</t>
  </si>
  <si>
    <t>Effective X, 2021:</t>
  </si>
  <si>
    <t>Changed July 2020 to reflect increase rate of 2.5% an hour but no change to the pension deduction</t>
  </si>
  <si>
    <t>x 1.025</t>
  </si>
  <si>
    <t>+.40</t>
  </si>
  <si>
    <t>+.41</t>
  </si>
  <si>
    <t>Year</t>
  </si>
  <si>
    <t>Pay</t>
  </si>
  <si>
    <t>Effective October 10, 2020:</t>
  </si>
  <si>
    <t>Pension Contribution</t>
  </si>
  <si>
    <t>July Error</t>
  </si>
  <si>
    <t>July Correct</t>
  </si>
  <si>
    <t>Pension</t>
  </si>
  <si>
    <t>Effective October 10, 2019:</t>
  </si>
  <si>
    <t>Added October 2021 to reflect increased pension deduction effective October 10, 2021</t>
  </si>
  <si>
    <t>Added October 2019 to reflect increased pension deduction effective October 10, 2019</t>
  </si>
  <si>
    <t>Updated August 2019 to reflect no increase in pension deduction over July 2018</t>
  </si>
  <si>
    <t>Updated July 2020 to reflect no increase in pension deduction over July 2020</t>
  </si>
  <si>
    <t>Added October 2020 to reflect increased pension deduction effective October 10, 2020</t>
  </si>
  <si>
    <t>Pension Contrib</t>
  </si>
  <si>
    <t>Eff Dt</t>
  </si>
  <si>
    <t>Final Rate</t>
  </si>
  <si>
    <t>Revised Schedule</t>
  </si>
  <si>
    <t>Added July 2021 to reflect 2.5% rate increase over October 2020 rates - need to adjust based on actual contract</t>
  </si>
  <si>
    <t>Effective July 1, 2019:</t>
  </si>
  <si>
    <t>Effective on July 1, 2019:
Increase the wage rate by 2.5%  per hour. 
Longevity pay = no change. 
The city will continue to contribute $0.40 to the supplemental pension fund. If the City is notified of an increase to the fund contribution, the wage rates will be reduced to afford that cost. 
The calculation is: first add back the wage concession value/reduction of $.40 per hour, multiply that number by the wage increase percent  (1.025), then subtract the $0.40 per hour wage reduction for the supplemental pension. 
Note the tool allowance was rolled into the base wage in 2015 and the safety shoe/boot allowance was rolled into the base wage in 2018.</t>
  </si>
  <si>
    <t>NOTE: Per Joe Hatch, a retro payment of $0.01 per hour was paid for the early premium increase of July 2019.</t>
  </si>
  <si>
    <t>July 1, 2021 updated rate to reflect a $0.30 safety shoe increase (changed from $0.07 to $0.10), 1.5% ATB increase and increase to longevity pay</t>
  </si>
  <si>
    <t>July2021IncrPerc:</t>
  </si>
  <si>
    <t>July2022IncrPerc:</t>
  </si>
  <si>
    <t>Effective July 1, 2022:</t>
  </si>
  <si>
    <t>2.5% Increase</t>
  </si>
  <si>
    <t>1.5% Increase</t>
  </si>
  <si>
    <t>Effective July 1, 2023:</t>
  </si>
  <si>
    <t>July2023IncrPerc:</t>
  </si>
  <si>
    <t>July 1, 2022, updated rate and longevity pay by 2.5%</t>
  </si>
  <si>
    <t>July 1, 2023, updated rate and longevity pay by 2.5%</t>
  </si>
  <si>
    <t>Includes increase of $0.03 for safety shoes</t>
  </si>
  <si>
    <r>
      <t>Effective October 10, 2021</t>
    </r>
    <r>
      <rPr>
        <i/>
        <sz val="10"/>
        <rFont val="Arial"/>
        <family val="2"/>
      </rPr>
      <t xml:space="preserve"> (reflects LIUNA Pension Fund contribution increase from $0.42 to $0.43 per hour)</t>
    </r>
  </si>
  <si>
    <t>1019ER</t>
  </si>
  <si>
    <t>Payroll manages</t>
  </si>
  <si>
    <t>Employer Contribution to IAM National Pension Fund = $0.44 per hour.</t>
  </si>
  <si>
    <r>
      <t xml:space="preserve">Effective October 1, 2022 </t>
    </r>
    <r>
      <rPr>
        <i/>
        <sz val="10"/>
        <rFont val="Arial"/>
        <family val="2"/>
      </rPr>
      <t>(reflects LIUNA Pension Fund contribution increase from $0.43 to $0.44 per hour)</t>
    </r>
  </si>
  <si>
    <r>
      <t>Effective October 1, 2023</t>
    </r>
    <r>
      <rPr>
        <i/>
        <sz val="10"/>
        <rFont val="Arial"/>
        <family val="2"/>
      </rPr>
      <t xml:space="preserve"> (reflects LIUNA Pension Fund contribution increase from $0.44 to $0.45 per hour)</t>
    </r>
  </si>
  <si>
    <r>
      <rPr>
        <b/>
        <sz val="10"/>
        <rFont val="Arial"/>
        <family val="2"/>
      </rPr>
      <t>Provided that</t>
    </r>
    <r>
      <rPr>
        <sz val="10"/>
        <rFont val="Arial"/>
        <family val="2"/>
      </rPr>
      <t xml:space="preserve"> in addition to the wage rate above, eligible employees will have $0.45 per hour contributed</t>
    </r>
  </si>
  <si>
    <r>
      <rPr>
        <b/>
        <sz val="10"/>
        <rFont val="Arial"/>
        <family val="2"/>
      </rPr>
      <t>Provided that</t>
    </r>
    <r>
      <rPr>
        <sz val="10"/>
        <rFont val="Arial"/>
        <family val="2"/>
      </rPr>
      <t xml:space="preserve"> in addition to the wage rate above, eligible employees will have $0.44 per hour contributed</t>
    </r>
  </si>
  <si>
    <t>Step 2</t>
  </si>
  <si>
    <t>Step 3</t>
  </si>
  <si>
    <t>Step 4</t>
  </si>
  <si>
    <t>Step 5</t>
  </si>
  <si>
    <t>Data From:</t>
  </si>
  <si>
    <t>RatesOct2023</t>
  </si>
  <si>
    <t>July2024IncrPerc</t>
  </si>
  <si>
    <t>Update</t>
  </si>
  <si>
    <t>Y</t>
  </si>
  <si>
    <t>RatesJuly2024</t>
  </si>
  <si>
    <t>July2025IncrPerc</t>
  </si>
  <si>
    <t>Starting Rate Post Reclass</t>
  </si>
  <si>
    <t>July2026IncrPerc</t>
  </si>
  <si>
    <t>RatesJuly2025</t>
  </si>
  <si>
    <t>Pension2024</t>
  </si>
  <si>
    <t>Effective July 1, 2025</t>
  </si>
  <si>
    <t>International Association of Machinist and Aerospace Workers, District Lodge 77, AFL-CIO (CMA)</t>
  </si>
  <si>
    <t>Effective July 1, 2026</t>
  </si>
  <si>
    <t>Payroll</t>
  </si>
  <si>
    <t>Sal Grade</t>
  </si>
  <si>
    <t>Longevity</t>
  </si>
  <si>
    <t>COLA2024</t>
  </si>
  <si>
    <t>COLA Increase of 4.5%; Market Adjustment of 5.0%</t>
  </si>
  <si>
    <t>Rates do not include pension contribution</t>
  </si>
  <si>
    <t>Payroll: Rates do not include pension contribution</t>
  </si>
  <si>
    <t>RatesOct2024</t>
  </si>
  <si>
    <t>Oct2024IncrPerc</t>
  </si>
  <si>
    <t>Oct2025IncrPerc</t>
  </si>
  <si>
    <t>RatesOct2025</t>
  </si>
  <si>
    <t>RatesJuly2026</t>
  </si>
  <si>
    <t>Last Updated: August 5, 2024</t>
  </si>
  <si>
    <t>Effective October 1, 2025</t>
  </si>
  <si>
    <t>Effective July 1, 2024</t>
  </si>
  <si>
    <t>Effective October 1, 2026</t>
  </si>
  <si>
    <t>Effective October 1, 2024</t>
  </si>
  <si>
    <t>City of Minneapolis</t>
  </si>
  <si>
    <t>Last updated 12/10/2024</t>
  </si>
  <si>
    <t>Page 1 of 1</t>
  </si>
  <si>
    <t>Last Updated: 1/9/2026 - Updated pension contribution for 2024 and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</si>
</sst>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General_)"/>
    <numFmt numFmtId="165" formatCode="&quot;$&quot;#,##0.000"/>
    <numFmt numFmtId="166" formatCode="&quot;$&quot;#,##0.00"/>
  </numFmts>
  <fonts count="21" x14ac:knownFonts="1">
    <font>
      <sz val="10"/>
      <name val="Arial"/>
    </font>
    <font>
      <sz val="11"/>
      <color theme="1"/>
      <name val="Calibri"/>
      <family val="2"/>
      <scheme val="minor"/>
    </font>
    <font>
      <sz val="12"/>
      <name val="Helv"/>
    </font>
    <font>
      <b/>
      <sz val="10"/>
      <name val="Arial"/>
      <family val="2"/>
    </font>
    <font>
      <sz val="10"/>
      <name val="Arial"/>
      <family val="2"/>
    </font>
    <font>
      <b/>
      <sz val="10"/>
      <color indexed="23"/>
      <name val="Arial"/>
      <family val="2"/>
    </font>
    <font>
      <sz val="10"/>
      <name val="MS Sans Serif"/>
      <family val="2"/>
    </font>
    <font>
      <sz val="10"/>
      <color theme="0"/>
      <name val="Arial"/>
      <family val="2"/>
    </font>
    <font>
      <b/>
      <sz val="10"/>
      <color theme="0"/>
      <name val="Arial"/>
      <family val="2"/>
    </font>
    <font>
      <sz val="12"/>
      <name val="Times New Roman"/>
      <family val="1"/>
    </font>
    <font>
      <b/>
      <sz val="8"/>
      <color indexed="81"/>
      <name val="Tahoma"/>
      <family val="2"/>
    </font>
    <font>
      <sz val="8"/>
      <color indexed="81"/>
      <name val="Tahoma"/>
      <family val="2"/>
    </font>
    <font>
      <sz val="10"/>
      <color rgb="FFFF0000"/>
      <name val="Arial"/>
      <family val="2"/>
    </font>
    <font>
      <b/>
      <u/>
      <sz val="10"/>
      <name val="Calibri"/>
      <family val="2"/>
      <scheme val="minor"/>
    </font>
    <font>
      <sz val="10"/>
      <name val="Calibri"/>
      <family val="2"/>
      <scheme val="minor"/>
    </font>
    <font>
      <sz val="10"/>
      <name val="Arial"/>
      <family val="2"/>
    </font>
    <font>
      <b/>
      <u/>
      <sz val="10"/>
      <name val="Arial"/>
      <family val="2"/>
    </font>
    <font>
      <sz val="8"/>
      <name val="Arial"/>
      <family val="2"/>
    </font>
    <font>
      <b/>
      <sz val="11"/>
      <color theme="1"/>
      <name val="Calibri"/>
      <family val="2"/>
      <scheme val="minor"/>
    </font>
    <font>
      <i/>
      <sz val="10"/>
      <name val="Arial"/>
      <family val="2"/>
    </font>
    <font>
      <b/>
      <i/>
      <sz val="10"/>
      <name val="Arial"/>
      <family val="2"/>
    </font>
  </fonts>
  <fills count="5">
    <fill>
      <patternFill patternType="none"/>
    </fill>
    <fill>
      <patternFill patternType="gray125"/>
    </fill>
    <fill>
      <patternFill patternType="solid">
        <fgColor theme="9" tint="0.39997558519241921"/>
        <bgColor indexed="64"/>
      </patternFill>
    </fill>
    <fill>
      <patternFill patternType="solid">
        <fgColor theme="7"/>
        <bgColor indexed="64"/>
      </patternFill>
    </fill>
    <fill>
      <patternFill patternType="solid">
        <fgColor rgb="FFFFC000"/>
        <bgColor indexed="64"/>
      </patternFill>
    </fill>
  </fills>
  <borders count="3">
    <border>
      <left/>
      <right/>
      <top/>
      <bottom/>
      <diagonal/>
    </border>
    <border>
      <left/>
      <right/>
      <top/>
      <bottom style="medium">
        <color indexed="64"/>
      </bottom>
      <diagonal/>
    </border>
    <border>
      <left/>
      <right/>
      <top style="thin">
        <color indexed="64"/>
      </top>
      <bottom/>
      <diagonal/>
    </border>
  </borders>
  <cellStyleXfs count="7">
    <xf numFmtId="0" fontId="0" fillId="0" borderId="0"/>
    <xf numFmtId="164" fontId="2" fillId="0" borderId="0"/>
    <xf numFmtId="0" fontId="4" fillId="0" borderId="0"/>
    <xf numFmtId="0" fontId="6" fillId="0" borderId="0" applyNumberFormat="0" applyFont="0" applyFill="0" applyBorder="0" applyAlignment="0" applyProtection="0">
      <alignment horizontal="left"/>
    </xf>
    <xf numFmtId="0" fontId="2" fillId="0" borderId="0"/>
    <xf numFmtId="9" fontId="15" fillId="0" borderId="0" applyFont="0" applyFill="0" applyBorder="0" applyAlignment="0" applyProtection="0"/>
    <xf numFmtId="0" fontId="1" fillId="0" borderId="0"/>
  </cellStyleXfs>
  <cellXfs count="158">
    <xf numFmtId="0" fontId="0" fillId="0" borderId="0" xfId="0"/>
    <xf numFmtId="164" fontId="3" fillId="0" borderId="0" xfId="1" applyFont="1" applyAlignment="1" applyProtection="1">
      <alignment horizontal="left"/>
    </xf>
    <xf numFmtId="0" fontId="4" fillId="0" borderId="0" xfId="2" applyFont="1"/>
    <xf numFmtId="164" fontId="3" fillId="0" borderId="0" xfId="1" applyFont="1" applyAlignment="1">
      <alignment horizontal="center"/>
    </xf>
    <xf numFmtId="164" fontId="4" fillId="0" borderId="0" xfId="1" applyFont="1" applyAlignment="1">
      <alignment horizontal="center"/>
    </xf>
    <xf numFmtId="0" fontId="3" fillId="0" borderId="0" xfId="2" applyFont="1"/>
    <xf numFmtId="0" fontId="4" fillId="0" borderId="0" xfId="2"/>
    <xf numFmtId="164" fontId="3" fillId="0" borderId="0" xfId="1" applyFont="1"/>
    <xf numFmtId="164" fontId="5" fillId="0" borderId="0" xfId="1" applyFont="1" applyBorder="1" applyAlignment="1" applyProtection="1">
      <alignment horizontal="center" wrapText="1"/>
    </xf>
    <xf numFmtId="0" fontId="3" fillId="0" borderId="1" xfId="2" applyFont="1" applyBorder="1" applyAlignment="1">
      <alignment wrapText="1"/>
    </xf>
    <xf numFmtId="0" fontId="3" fillId="0" borderId="1" xfId="2" applyFont="1" applyBorder="1" applyAlignment="1">
      <alignment horizontal="left" wrapText="1"/>
    </xf>
    <xf numFmtId="0" fontId="3" fillId="0" borderId="1" xfId="2" applyFont="1" applyBorder="1" applyAlignment="1">
      <alignment horizontal="center" wrapText="1"/>
    </xf>
    <xf numFmtId="164" fontId="3" fillId="0" borderId="0" xfId="1" applyFont="1" applyBorder="1" applyAlignment="1" applyProtection="1">
      <alignment horizontal="center"/>
    </xf>
    <xf numFmtId="0" fontId="4" fillId="0" borderId="0" xfId="2" applyBorder="1"/>
    <xf numFmtId="0" fontId="4" fillId="0" borderId="0" xfId="3" applyFont="1" applyAlignment="1">
      <alignment horizontal="center"/>
    </xf>
    <xf numFmtId="49" fontId="4" fillId="0" borderId="0" xfId="2" applyNumberFormat="1" applyAlignment="1">
      <alignment horizontal="center"/>
    </xf>
    <xf numFmtId="0" fontId="4" fillId="0" borderId="0" xfId="2" applyFont="1" applyAlignment="1">
      <alignment horizontal="center"/>
    </xf>
    <xf numFmtId="0" fontId="4" fillId="0" borderId="0" xfId="3" applyFont="1" applyAlignment="1"/>
    <xf numFmtId="165" fontId="4" fillId="0" borderId="0" xfId="2" applyNumberFormat="1" applyFont="1" applyBorder="1" applyAlignment="1">
      <alignment horizontal="center"/>
    </xf>
    <xf numFmtId="0" fontId="7" fillId="0" borderId="0" xfId="0" applyFont="1"/>
    <xf numFmtId="0" fontId="7" fillId="0" borderId="0" xfId="2" applyFont="1"/>
    <xf numFmtId="0" fontId="8" fillId="0" borderId="0" xfId="0" applyFont="1"/>
    <xf numFmtId="0" fontId="4" fillId="0" borderId="0" xfId="0" applyFont="1" applyBorder="1"/>
    <xf numFmtId="0" fontId="4" fillId="0" borderId="0" xfId="0" applyFont="1"/>
    <xf numFmtId="0" fontId="4" fillId="0" borderId="2" xfId="0" applyFont="1" applyBorder="1"/>
    <xf numFmtId="0" fontId="4" fillId="0" borderId="2" xfId="2" applyFont="1" applyBorder="1" applyAlignment="1">
      <alignment horizontal="left"/>
    </xf>
    <xf numFmtId="0" fontId="4" fillId="0" borderId="2" xfId="3" applyFont="1" applyBorder="1" applyAlignment="1"/>
    <xf numFmtId="0" fontId="4" fillId="0" borderId="2" xfId="2" applyFont="1" applyBorder="1" applyAlignment="1">
      <alignment horizontal="center"/>
    </xf>
    <xf numFmtId="165" fontId="4" fillId="0" borderId="2" xfId="2" applyNumberFormat="1" applyFont="1" applyBorder="1" applyAlignment="1">
      <alignment horizontal="center"/>
    </xf>
    <xf numFmtId="0" fontId="4" fillId="0" borderId="2" xfId="2" applyBorder="1"/>
    <xf numFmtId="0" fontId="4" fillId="0" borderId="0" xfId="2" applyFont="1" applyAlignment="1">
      <alignment horizontal="left"/>
    </xf>
    <xf numFmtId="0" fontId="4" fillId="0" borderId="0" xfId="2" applyFont="1" applyBorder="1" applyAlignment="1">
      <alignment horizontal="center"/>
    </xf>
    <xf numFmtId="164" fontId="4" fillId="0" borderId="2" xfId="1" applyFont="1" applyBorder="1" applyAlignment="1" applyProtection="1">
      <alignment horizontal="left"/>
    </xf>
    <xf numFmtId="164" fontId="4" fillId="0" borderId="0" xfId="1" applyFont="1" applyAlignment="1" applyProtection="1">
      <alignment horizontal="left"/>
    </xf>
    <xf numFmtId="165" fontId="4" fillId="0" borderId="0" xfId="2" applyNumberFormat="1" applyFont="1"/>
    <xf numFmtId="165" fontId="4" fillId="0" borderId="0" xfId="2" applyNumberFormat="1"/>
    <xf numFmtId="0" fontId="9" fillId="0" borderId="0" xfId="0" applyFont="1" applyAlignment="1">
      <alignment vertical="center"/>
    </xf>
    <xf numFmtId="0" fontId="3" fillId="0" borderId="0" xfId="2" applyFont="1" applyFill="1"/>
    <xf numFmtId="0" fontId="4" fillId="0" borderId="0" xfId="2" applyFill="1"/>
    <xf numFmtId="0" fontId="12" fillId="0" borderId="0" xfId="2" applyFont="1" applyFill="1"/>
    <xf numFmtId="164" fontId="3" fillId="0" borderId="0" xfId="1" applyFont="1" applyFill="1" applyAlignment="1" applyProtection="1">
      <alignment horizontal="left"/>
    </xf>
    <xf numFmtId="0" fontId="4" fillId="0" borderId="0" xfId="2" applyFont="1" applyFill="1"/>
    <xf numFmtId="164" fontId="3" fillId="0" borderId="0" xfId="1" applyFont="1" applyFill="1" applyAlignment="1">
      <alignment horizontal="center"/>
    </xf>
    <xf numFmtId="164" fontId="4" fillId="0" borderId="0" xfId="1" applyFont="1" applyFill="1" applyAlignment="1">
      <alignment horizontal="center"/>
    </xf>
    <xf numFmtId="164" fontId="3" fillId="0" borderId="0" xfId="1" applyFont="1" applyFill="1"/>
    <xf numFmtId="164" fontId="5" fillId="0" borderId="0" xfId="1" applyFont="1" applyFill="1" applyBorder="1" applyAlignment="1" applyProtection="1">
      <alignment horizontal="center" wrapText="1"/>
    </xf>
    <xf numFmtId="0" fontId="3" fillId="0" borderId="1" xfId="2" applyFont="1" applyFill="1" applyBorder="1" applyAlignment="1">
      <alignment horizontal="center" wrapText="1"/>
    </xf>
    <xf numFmtId="0" fontId="3" fillId="0" borderId="1" xfId="2" applyFont="1" applyFill="1" applyBorder="1" applyAlignment="1">
      <alignment horizontal="left" wrapText="1"/>
    </xf>
    <xf numFmtId="164" fontId="3" fillId="0" borderId="0" xfId="1" applyFont="1" applyFill="1" applyBorder="1" applyAlignment="1" applyProtection="1">
      <alignment horizontal="center"/>
    </xf>
    <xf numFmtId="0" fontId="4" fillId="0" borderId="0" xfId="2" applyFill="1" applyBorder="1"/>
    <xf numFmtId="0" fontId="4" fillId="0" borderId="0" xfId="3" applyFont="1" applyFill="1" applyAlignment="1">
      <alignment horizontal="center"/>
    </xf>
    <xf numFmtId="49" fontId="4" fillId="0" borderId="0" xfId="2" applyNumberFormat="1" applyFill="1" applyAlignment="1">
      <alignment horizontal="center"/>
    </xf>
    <xf numFmtId="0" fontId="4" fillId="0" borderId="0" xfId="2" applyFont="1" applyFill="1" applyAlignment="1">
      <alignment horizontal="center"/>
    </xf>
    <xf numFmtId="0" fontId="4" fillId="0" borderId="0" xfId="3" applyFont="1" applyFill="1" applyAlignment="1"/>
    <xf numFmtId="165" fontId="4" fillId="0" borderId="0" xfId="2" applyNumberFormat="1" applyFont="1" applyFill="1" applyBorder="1" applyAlignment="1">
      <alignment horizontal="center"/>
    </xf>
    <xf numFmtId="0" fontId="12" fillId="0" borderId="0" xfId="0" applyFont="1" applyFill="1"/>
    <xf numFmtId="0" fontId="0" fillId="0" borderId="0" xfId="0" applyFill="1"/>
    <xf numFmtId="0" fontId="7" fillId="0" borderId="0" xfId="2" applyFont="1" applyFill="1"/>
    <xf numFmtId="0" fontId="8" fillId="0" borderId="0" xfId="0" applyFont="1" applyFill="1"/>
    <xf numFmtId="0" fontId="4" fillId="0" borderId="0" xfId="0" applyFont="1" applyFill="1" applyBorder="1"/>
    <xf numFmtId="0" fontId="7" fillId="0" borderId="0" xfId="0" applyFont="1" applyFill="1"/>
    <xf numFmtId="0" fontId="4" fillId="0" borderId="0" xfId="0" applyFont="1" applyFill="1"/>
    <xf numFmtId="0" fontId="0" fillId="0" borderId="0" xfId="0" applyFill="1" applyBorder="1"/>
    <xf numFmtId="0" fontId="4" fillId="0" borderId="2" xfId="0" applyFont="1" applyFill="1" applyBorder="1"/>
    <xf numFmtId="0" fontId="4" fillId="0" borderId="2" xfId="2" applyFont="1" applyFill="1" applyBorder="1" applyAlignment="1">
      <alignment horizontal="left"/>
    </xf>
    <xf numFmtId="0" fontId="4" fillId="0" borderId="2" xfId="3" applyFont="1" applyFill="1" applyBorder="1" applyAlignment="1"/>
    <xf numFmtId="0" fontId="4" fillId="0" borderId="2" xfId="2" applyFont="1" applyFill="1" applyBorder="1" applyAlignment="1">
      <alignment horizontal="center"/>
    </xf>
    <xf numFmtId="165" fontId="4" fillId="0" borderId="2" xfId="2" applyNumberFormat="1" applyFont="1" applyFill="1" applyBorder="1" applyAlignment="1">
      <alignment horizontal="center"/>
    </xf>
    <xf numFmtId="0" fontId="4" fillId="0" borderId="2" xfId="2" applyFill="1" applyBorder="1"/>
    <xf numFmtId="0" fontId="4" fillId="0" borderId="0" xfId="2" applyFont="1" applyFill="1" applyAlignment="1">
      <alignment horizontal="left"/>
    </xf>
    <xf numFmtId="0" fontId="4" fillId="0" borderId="0" xfId="2" applyFont="1" applyFill="1" applyBorder="1" applyAlignment="1">
      <alignment horizontal="center"/>
    </xf>
    <xf numFmtId="164" fontId="4" fillId="0" borderId="2" xfId="1" applyFont="1" applyFill="1" applyBorder="1" applyAlignment="1" applyProtection="1">
      <alignment horizontal="left"/>
    </xf>
    <xf numFmtId="164" fontId="4" fillId="0" borderId="0" xfId="1" applyFont="1" applyFill="1" applyAlignment="1" applyProtection="1">
      <alignment horizontal="left"/>
    </xf>
    <xf numFmtId="165" fontId="4" fillId="0" borderId="0" xfId="2" applyNumberFormat="1" applyFont="1" applyFill="1"/>
    <xf numFmtId="165" fontId="4" fillId="0" borderId="0" xfId="2" applyNumberFormat="1" applyFill="1"/>
    <xf numFmtId="0" fontId="9" fillId="0" borderId="0" xfId="0" applyFont="1" applyFill="1" applyAlignment="1">
      <alignment vertical="center"/>
    </xf>
    <xf numFmtId="0" fontId="13" fillId="0" borderId="0" xfId="4" applyFont="1" applyFill="1" applyProtection="1">
      <protection hidden="1"/>
    </xf>
    <xf numFmtId="0" fontId="4" fillId="0" borderId="0" xfId="0" applyFont="1" applyAlignment="1">
      <alignment wrapText="1"/>
    </xf>
    <xf numFmtId="14" fontId="0" fillId="0" borderId="0" xfId="0" applyNumberFormat="1"/>
    <xf numFmtId="0" fontId="0" fillId="0" borderId="0" xfId="0" applyAlignment="1">
      <alignment wrapText="1"/>
    </xf>
    <xf numFmtId="0" fontId="4" fillId="2" borderId="0" xfId="2" applyFill="1"/>
    <xf numFmtId="0" fontId="4" fillId="2" borderId="0" xfId="2" applyFont="1" applyFill="1"/>
    <xf numFmtId="0" fontId="0" fillId="2" borderId="0" xfId="0" applyFill="1"/>
    <xf numFmtId="0" fontId="4" fillId="2" borderId="0" xfId="2" applyFill="1" applyAlignment="1">
      <alignment horizontal="center"/>
    </xf>
    <xf numFmtId="49" fontId="4" fillId="2" borderId="0" xfId="2" applyNumberFormat="1" applyFill="1" applyAlignment="1">
      <alignment horizontal="center"/>
    </xf>
    <xf numFmtId="165" fontId="4" fillId="2" borderId="0" xfId="0" applyNumberFormat="1" applyFont="1" applyFill="1" applyAlignment="1">
      <alignment horizontal="center"/>
    </xf>
    <xf numFmtId="166" fontId="4" fillId="2" borderId="0" xfId="2" applyNumberFormat="1" applyFont="1" applyFill="1"/>
    <xf numFmtId="166" fontId="4" fillId="2" borderId="0" xfId="2" applyNumberFormat="1" applyFont="1" applyFill="1" applyAlignment="1">
      <alignment horizontal="center"/>
    </xf>
    <xf numFmtId="166" fontId="4" fillId="2" borderId="0" xfId="0" applyNumberFormat="1" applyFont="1" applyFill="1"/>
    <xf numFmtId="0" fontId="4" fillId="0" borderId="0" xfId="2" applyFont="1" applyFill="1" applyBorder="1"/>
    <xf numFmtId="49" fontId="4" fillId="0" borderId="0" xfId="2" applyNumberFormat="1" applyFont="1" applyFill="1" applyAlignment="1">
      <alignment horizontal="center"/>
    </xf>
    <xf numFmtId="0" fontId="4" fillId="0" borderId="2" xfId="2" applyFont="1" applyFill="1" applyBorder="1"/>
    <xf numFmtId="0" fontId="16" fillId="0" borderId="0" xfId="4" applyFont="1" applyFill="1" applyProtection="1">
      <protection hidden="1"/>
    </xf>
    <xf numFmtId="0" fontId="4" fillId="0" borderId="0" xfId="0" applyFont="1" applyFill="1" applyAlignment="1">
      <alignment vertical="center"/>
    </xf>
    <xf numFmtId="10" fontId="4" fillId="2" borderId="0" xfId="5" applyNumberFormat="1" applyFont="1" applyFill="1"/>
    <xf numFmtId="0" fontId="4" fillId="2" borderId="0" xfId="2" applyFill="1" applyAlignment="1">
      <alignment horizontal="right"/>
    </xf>
    <xf numFmtId="165" fontId="4" fillId="2" borderId="0" xfId="2" applyNumberFormat="1" applyFont="1" applyFill="1"/>
    <xf numFmtId="0" fontId="0" fillId="0" borderId="0" xfId="0" quotePrefix="1" applyFill="1" applyAlignment="1">
      <alignment horizontal="right"/>
    </xf>
    <xf numFmtId="165" fontId="0" fillId="0" borderId="0" xfId="0" applyNumberFormat="1" applyFill="1"/>
    <xf numFmtId="0" fontId="4" fillId="0" borderId="0" xfId="2" applyFill="1" applyAlignment="1">
      <alignment horizontal="center"/>
    </xf>
    <xf numFmtId="0" fontId="1" fillId="0" borderId="0" xfId="6"/>
    <xf numFmtId="165" fontId="1" fillId="0" borderId="0" xfId="6" applyNumberFormat="1" applyAlignment="1">
      <alignment horizontal="center"/>
    </xf>
    <xf numFmtId="14" fontId="1" fillId="0" borderId="0" xfId="6" applyNumberFormat="1" applyAlignment="1">
      <alignment horizontal="center"/>
    </xf>
    <xf numFmtId="0" fontId="1" fillId="0" borderId="0" xfId="6" applyAlignment="1">
      <alignment horizontal="center"/>
    </xf>
    <xf numFmtId="0" fontId="18" fillId="0" borderId="0" xfId="6" applyFont="1" applyAlignment="1">
      <alignment horizontal="center"/>
    </xf>
    <xf numFmtId="0" fontId="1" fillId="0" borderId="0" xfId="6" applyAlignment="1">
      <alignment horizontal="center"/>
    </xf>
    <xf numFmtId="164" fontId="3" fillId="0" borderId="0" xfId="1" applyFont="1" applyAlignment="1">
      <alignment horizontal="left"/>
    </xf>
    <xf numFmtId="164" fontId="5" fillId="0" borderId="0" xfId="1" applyFont="1" applyAlignment="1">
      <alignment horizontal="center" wrapText="1"/>
    </xf>
    <xf numFmtId="0" fontId="4" fillId="0" borderId="0" xfId="2" applyAlignment="1">
      <alignment horizontal="center"/>
    </xf>
    <xf numFmtId="165" fontId="4" fillId="0" borderId="0" xfId="2" applyNumberFormat="1" applyAlignment="1">
      <alignment horizontal="center"/>
    </xf>
    <xf numFmtId="0" fontId="4" fillId="0" borderId="2" xfId="2" applyBorder="1" applyAlignment="1">
      <alignment horizontal="left"/>
    </xf>
    <xf numFmtId="0" fontId="4" fillId="0" borderId="2" xfId="2" applyBorder="1" applyAlignment="1">
      <alignment horizontal="center"/>
    </xf>
    <xf numFmtId="165" fontId="4" fillId="0" borderId="2" xfId="2" applyNumberFormat="1" applyBorder="1" applyAlignment="1">
      <alignment horizontal="center"/>
    </xf>
    <xf numFmtId="0" fontId="4" fillId="0" borderId="0" xfId="2" applyAlignment="1">
      <alignment horizontal="left"/>
    </xf>
    <xf numFmtId="164" fontId="4" fillId="0" borderId="2" xfId="1" applyFont="1" applyBorder="1" applyAlignment="1">
      <alignment horizontal="left"/>
    </xf>
    <xf numFmtId="164" fontId="4" fillId="0" borderId="0" xfId="1" applyFont="1" applyAlignment="1">
      <alignment horizontal="left"/>
    </xf>
    <xf numFmtId="0" fontId="12" fillId="0" borderId="0" xfId="2" applyFont="1"/>
    <xf numFmtId="0" fontId="12" fillId="0" borderId="0" xfId="0" applyFont="1"/>
    <xf numFmtId="0" fontId="16" fillId="0" borderId="0" xfId="4" applyFont="1" applyProtection="1">
      <protection hidden="1"/>
    </xf>
    <xf numFmtId="164" fontId="19" fillId="0" borderId="0" xfId="1" applyFont="1" applyFill="1" applyAlignment="1">
      <alignment horizontal="left"/>
    </xf>
    <xf numFmtId="165" fontId="4" fillId="0" borderId="0" xfId="0" applyNumberFormat="1" applyFont="1" applyFill="1"/>
    <xf numFmtId="0" fontId="4" fillId="2" borderId="0" xfId="0" applyFont="1" applyFill="1"/>
    <xf numFmtId="0" fontId="4" fillId="2" borderId="0" xfId="0" applyFont="1" applyFill="1" applyAlignment="1">
      <alignment horizontal="center"/>
    </xf>
    <xf numFmtId="0" fontId="0" fillId="2" borderId="0" xfId="0" applyFill="1" applyAlignment="1">
      <alignment horizontal="center"/>
    </xf>
    <xf numFmtId="10" fontId="4" fillId="2" borderId="0" xfId="2" applyNumberFormat="1" applyFill="1" applyAlignment="1">
      <alignment horizontal="center"/>
    </xf>
    <xf numFmtId="0" fontId="4" fillId="2" borderId="0" xfId="2" applyFont="1" applyFill="1" applyAlignment="1">
      <alignment horizontal="center"/>
    </xf>
    <xf numFmtId="166" fontId="4" fillId="2" borderId="0" xfId="0" applyNumberFormat="1" applyFont="1" applyFill="1" applyAlignment="1">
      <alignment horizontal="center"/>
    </xf>
    <xf numFmtId="165" fontId="4" fillId="2" borderId="0" xfId="2" applyNumberFormat="1" applyFont="1" applyFill="1" applyAlignment="1">
      <alignment horizontal="center"/>
    </xf>
    <xf numFmtId="0" fontId="0" fillId="2" borderId="0" xfId="0" applyFill="1" applyAlignment="1">
      <alignment horizontal="left"/>
    </xf>
    <xf numFmtId="0" fontId="4" fillId="3" borderId="0" xfId="2" applyFill="1" applyAlignment="1">
      <alignment horizontal="center"/>
    </xf>
    <xf numFmtId="10" fontId="4" fillId="3" borderId="0" xfId="2" applyNumberFormat="1" applyFill="1" applyAlignment="1">
      <alignment horizontal="center"/>
    </xf>
    <xf numFmtId="166" fontId="4" fillId="3" borderId="0" xfId="2" applyNumberFormat="1" applyFont="1" applyFill="1" applyAlignment="1">
      <alignment horizontal="center"/>
    </xf>
    <xf numFmtId="0" fontId="4" fillId="3" borderId="0" xfId="2" applyFill="1"/>
    <xf numFmtId="0" fontId="4" fillId="3" borderId="0" xfId="2" applyFont="1" applyFill="1" applyAlignment="1">
      <alignment horizontal="center"/>
    </xf>
    <xf numFmtId="0" fontId="4" fillId="3" borderId="0" xfId="2" applyFont="1" applyFill="1"/>
    <xf numFmtId="49" fontId="4" fillId="3" borderId="0" xfId="2" applyNumberFormat="1" applyFill="1" applyAlignment="1">
      <alignment horizontal="center"/>
    </xf>
    <xf numFmtId="165" fontId="4" fillId="3" borderId="0" xfId="0" applyNumberFormat="1" applyFont="1" applyFill="1" applyAlignment="1">
      <alignment horizontal="center"/>
    </xf>
    <xf numFmtId="0" fontId="0" fillId="3" borderId="0" xfId="0" applyFill="1" applyAlignment="1">
      <alignment horizontal="center"/>
    </xf>
    <xf numFmtId="166" fontId="4" fillId="3" borderId="0" xfId="0" applyNumberFormat="1" applyFont="1" applyFill="1" applyAlignment="1">
      <alignment horizontal="center"/>
    </xf>
    <xf numFmtId="0" fontId="0" fillId="3" borderId="0" xfId="0" applyFill="1"/>
    <xf numFmtId="0" fontId="4" fillId="3" borderId="0" xfId="0" applyFont="1" applyFill="1" applyAlignment="1">
      <alignment horizontal="center"/>
    </xf>
    <xf numFmtId="0" fontId="4" fillId="3" borderId="0" xfId="0" applyFont="1" applyFill="1"/>
    <xf numFmtId="165" fontId="4" fillId="3" borderId="0" xfId="2" applyNumberFormat="1" applyFont="1" applyFill="1" applyAlignment="1">
      <alignment horizontal="center"/>
    </xf>
    <xf numFmtId="165" fontId="4" fillId="3" borderId="0" xfId="2" applyNumberFormat="1" applyFill="1" applyAlignment="1">
      <alignment horizontal="center"/>
    </xf>
    <xf numFmtId="0" fontId="4" fillId="3" borderId="0" xfId="0" applyFont="1" applyFill="1" applyAlignment="1">
      <alignment horizontal="left"/>
    </xf>
    <xf numFmtId="0" fontId="4" fillId="3" borderId="0" xfId="2" applyFill="1" applyAlignment="1">
      <alignment horizontal="right"/>
    </xf>
    <xf numFmtId="164" fontId="3" fillId="0" borderId="1" xfId="1" applyFont="1" applyFill="1" applyBorder="1" applyAlignment="1" applyProtection="1">
      <alignment horizontal="center"/>
    </xf>
    <xf numFmtId="0" fontId="0" fillId="4" borderId="0" xfId="0" applyFill="1"/>
    <xf numFmtId="0" fontId="4" fillId="3" borderId="0" xfId="2" applyNumberFormat="1" applyFont="1" applyFill="1" applyAlignment="1">
      <alignment horizontal="center"/>
    </xf>
    <xf numFmtId="0" fontId="4" fillId="3" borderId="0" xfId="2" applyNumberFormat="1" applyFill="1" applyAlignment="1">
      <alignment horizontal="center"/>
    </xf>
    <xf numFmtId="0" fontId="3" fillId="0" borderId="1" xfId="2" applyFont="1" applyFill="1" applyBorder="1" applyAlignment="1">
      <alignment horizontal="center"/>
    </xf>
    <xf numFmtId="0" fontId="19" fillId="0" borderId="0" xfId="2" applyFont="1" applyFill="1"/>
    <xf numFmtId="0" fontId="20" fillId="0" borderId="0" xfId="2" applyFont="1" applyFill="1"/>
    <xf numFmtId="49" fontId="4" fillId="2" borderId="0" xfId="2" applyNumberFormat="1" applyFill="1"/>
    <xf numFmtId="165" fontId="4" fillId="2" borderId="0" xfId="2" applyNumberFormat="1" applyFill="1"/>
    <xf numFmtId="165" fontId="4" fillId="2" borderId="0" xfId="2" applyNumberFormat="1" applyFill="1" applyAlignment="1">
      <alignment horizontal="center"/>
    </xf>
    <xf numFmtId="165" fontId="0" fillId="3" borderId="0" xfId="0" applyNumberFormat="1" applyFill="1" applyAlignment="1">
      <alignment horizontal="center"/>
    </xf>
    <xf numFmtId="0" fontId="1" fillId="0" borderId="0" xfId="6" applyAlignment="1">
      <alignment horizontal="center"/>
    </xf>
  </cellXfs>
  <cellStyles count="7">
    <cellStyle name="Normal" xfId="0" builtinId="0"/>
    <cellStyle name="Normal 2" xfId="2" xr:uid="{00000000-0005-0000-0000-000001000000}"/>
    <cellStyle name="Normal 3" xfId="6" xr:uid="{E3331163-629C-4F15-991E-D7937F5D266E}"/>
    <cellStyle name="Normal_cma SALORD200020012002" xfId="1" xr:uid="{00000000-0005-0000-0000-000002000000}"/>
    <cellStyle name="Normal_SalaryOrdinance_01-03CEQ" xfId="4" xr:uid="{00000000-0005-0000-0000-000003000000}"/>
    <cellStyle name="Percent" xfId="5" builtinId="5"/>
    <cellStyle name="PSChar"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eetMetadata" Target="metadata.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13</xdr:col>
      <xdr:colOff>295275</xdr:colOff>
      <xdr:row>3</xdr:row>
      <xdr:rowOff>28575</xdr:rowOff>
    </xdr:from>
    <xdr:ext cx="2345899" cy="264560"/>
    <xdr:sp macro="" textlink="">
      <xdr:nvSpPr>
        <xdr:cNvPr id="2" name="TextBox 1">
          <a:extLst>
            <a:ext uri="{FF2B5EF4-FFF2-40B4-BE49-F238E27FC236}">
              <a16:creationId xmlns:a16="http://schemas.microsoft.com/office/drawing/2014/main" id="{AE3A05FC-16AC-4DC6-AA78-232094826AC0}"/>
            </a:ext>
          </a:extLst>
        </xdr:cNvPr>
        <xdr:cNvSpPr txBox="1"/>
      </xdr:nvSpPr>
      <xdr:spPr>
        <a:xfrm>
          <a:off x="6838950" y="514350"/>
          <a:ext cx="2345899" cy="264560"/>
        </a:xfrm>
        <a:prstGeom prst="rect">
          <a:avLst/>
        </a:prstGeom>
        <a:solidFill>
          <a:schemeClr val="accent4"/>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Do not use - see tab July 2021 instead</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4</xdr:col>
      <xdr:colOff>533400</xdr:colOff>
      <xdr:row>2</xdr:row>
      <xdr:rowOff>57150</xdr:rowOff>
    </xdr:from>
    <xdr:to>
      <xdr:col>14</xdr:col>
      <xdr:colOff>419935</xdr:colOff>
      <xdr:row>12</xdr:row>
      <xdr:rowOff>48731</xdr:rowOff>
    </xdr:to>
    <xdr:pic>
      <xdr:nvPicPr>
        <xdr:cNvPr id="2" name="Picture 1">
          <a:extLst>
            <a:ext uri="{FF2B5EF4-FFF2-40B4-BE49-F238E27FC236}">
              <a16:creationId xmlns:a16="http://schemas.microsoft.com/office/drawing/2014/main" id="{7378FF46-A2C4-47E5-A2F3-10C1867BAA43}"/>
            </a:ext>
          </a:extLst>
        </xdr:cNvPr>
        <xdr:cNvPicPr>
          <a:picLocks noChangeAspect="1"/>
        </xdr:cNvPicPr>
      </xdr:nvPicPr>
      <xdr:blipFill>
        <a:blip xmlns:r="http://schemas.openxmlformats.org/officeDocument/2006/relationships" r:embed="rId1"/>
        <a:stretch>
          <a:fillRect/>
        </a:stretch>
      </xdr:blipFill>
      <xdr:spPr>
        <a:xfrm>
          <a:off x="8239125" y="4914900"/>
          <a:ext cx="5982535" cy="7925906"/>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1"/>
  <sheetViews>
    <sheetView workbookViewId="0">
      <selection activeCell="H7" sqref="H7"/>
    </sheetView>
  </sheetViews>
  <sheetFormatPr defaultColWidth="9.109375" defaultRowHeight="13.2" x14ac:dyDescent="0.25"/>
  <cols>
    <col min="1" max="2" width="9.109375" style="6"/>
    <col min="3" max="3" width="8.109375" style="6" customWidth="1"/>
    <col min="4" max="4" width="18.109375" style="6" customWidth="1"/>
    <col min="5" max="5" width="7.33203125" style="6" customWidth="1"/>
    <col min="6" max="6" width="4.5546875" style="6" customWidth="1"/>
    <col min="7" max="7" width="4.6640625" style="6" bestFit="1" customWidth="1"/>
    <col min="8" max="8" width="8.44140625" style="6" customWidth="1"/>
    <col min="9" max="9" width="4.88671875" style="6" customWidth="1"/>
    <col min="10" max="10" width="10.5546875" style="6" customWidth="1"/>
    <col min="11" max="13" width="6.6640625" style="6" bestFit="1" customWidth="1"/>
    <col min="14" max="16384" width="9.109375" style="6"/>
  </cols>
  <sheetData>
    <row r="1" spans="1:17" s="2" customFormat="1" x14ac:dyDescent="0.25">
      <c r="A1" s="1" t="s">
        <v>0</v>
      </c>
      <c r="D1" s="3"/>
      <c r="E1" s="3"/>
      <c r="F1" s="3"/>
      <c r="G1" s="4"/>
      <c r="H1" s="4"/>
      <c r="I1" s="4"/>
      <c r="J1" s="4"/>
      <c r="K1" s="4"/>
      <c r="L1" s="4"/>
      <c r="M1" s="4"/>
    </row>
    <row r="2" spans="1:17" s="2" customFormat="1" x14ac:dyDescent="0.25">
      <c r="A2" s="1" t="s">
        <v>1</v>
      </c>
      <c r="D2" s="3"/>
      <c r="E2" s="3"/>
      <c r="F2" s="3"/>
      <c r="G2" s="4"/>
      <c r="H2" s="4"/>
      <c r="I2" s="4"/>
    </row>
    <row r="3" spans="1:17" x14ac:dyDescent="0.25">
      <c r="A3" s="5"/>
    </row>
    <row r="4" spans="1:17" x14ac:dyDescent="0.25">
      <c r="A4" s="5" t="s">
        <v>2</v>
      </c>
    </row>
    <row r="5" spans="1:17" x14ac:dyDescent="0.25">
      <c r="C5" s="1"/>
      <c r="D5" s="7"/>
      <c r="E5" s="3"/>
      <c r="F5" s="7"/>
      <c r="G5" s="3"/>
      <c r="H5" s="8"/>
      <c r="I5" s="8"/>
      <c r="J5" s="8"/>
      <c r="K5" s="8"/>
    </row>
    <row r="6" spans="1:17" ht="27" thickBot="1" x14ac:dyDescent="0.3">
      <c r="A6" s="9" t="s">
        <v>3</v>
      </c>
      <c r="B6" s="9" t="s">
        <v>4</v>
      </c>
      <c r="C6" s="10" t="s">
        <v>5</v>
      </c>
      <c r="D6" s="10" t="s">
        <v>6</v>
      </c>
      <c r="E6" s="11" t="s">
        <v>7</v>
      </c>
      <c r="F6" s="11" t="s">
        <v>8</v>
      </c>
      <c r="G6" s="11" t="s">
        <v>9</v>
      </c>
      <c r="H6" s="11" t="s">
        <v>10</v>
      </c>
      <c r="I6" s="12"/>
      <c r="J6" s="12"/>
      <c r="K6" s="12"/>
      <c r="L6" s="13"/>
    </row>
    <row r="7" spans="1:17" x14ac:dyDescent="0.25">
      <c r="A7" s="14" t="s">
        <v>11</v>
      </c>
      <c r="B7" s="15" t="s">
        <v>12</v>
      </c>
      <c r="C7" s="16" t="s">
        <v>13</v>
      </c>
      <c r="D7" s="17" t="s">
        <v>14</v>
      </c>
      <c r="E7" s="16">
        <v>313</v>
      </c>
      <c r="F7" s="14">
        <v>6</v>
      </c>
      <c r="G7" s="16" t="s">
        <v>15</v>
      </c>
      <c r="H7" s="18">
        <v>30.959054999999992</v>
      </c>
      <c r="Q7" s="19">
        <v>26.45</v>
      </c>
    </row>
    <row r="8" spans="1:17" customFormat="1" x14ac:dyDescent="0.25">
      <c r="H8" s="20">
        <v>26.978999999999999</v>
      </c>
    </row>
    <row r="9" spans="1:17" customFormat="1" x14ac:dyDescent="0.25">
      <c r="H9" s="21"/>
    </row>
    <row r="10" spans="1:17" customFormat="1" x14ac:dyDescent="0.25">
      <c r="B10" s="22" t="s">
        <v>16</v>
      </c>
      <c r="H10" s="19"/>
    </row>
    <row r="11" spans="1:17" customFormat="1" x14ac:dyDescent="0.25">
      <c r="C11" s="23" t="s">
        <v>17</v>
      </c>
      <c r="H11" s="19"/>
    </row>
    <row r="12" spans="1:17" customFormat="1" x14ac:dyDescent="0.25">
      <c r="H12" s="19"/>
    </row>
    <row r="13" spans="1:17" x14ac:dyDescent="0.25">
      <c r="B13" s="24" t="s">
        <v>18</v>
      </c>
      <c r="C13" s="25"/>
      <c r="D13" s="26"/>
      <c r="E13" s="27"/>
      <c r="F13" s="26"/>
      <c r="G13" s="27"/>
      <c r="H13" s="28"/>
      <c r="I13" s="27"/>
      <c r="J13" s="27"/>
      <c r="K13" s="29"/>
      <c r="L13" s="29"/>
      <c r="M13" s="29"/>
    </row>
    <row r="14" spans="1:17" x14ac:dyDescent="0.25">
      <c r="B14" s="16"/>
      <c r="C14" s="30" t="s">
        <v>19</v>
      </c>
      <c r="D14" s="17"/>
      <c r="E14" s="16"/>
      <c r="F14" s="17"/>
      <c r="G14" s="16"/>
      <c r="H14" s="18"/>
      <c r="I14" s="31"/>
      <c r="J14" s="31"/>
      <c r="K14" s="13"/>
    </row>
    <row r="15" spans="1:17" x14ac:dyDescent="0.25">
      <c r="B15" s="16"/>
      <c r="C15" s="6" t="s">
        <v>20</v>
      </c>
      <c r="D15" s="17"/>
      <c r="E15" s="16"/>
      <c r="F15" s="17"/>
      <c r="G15" s="16"/>
      <c r="H15" s="18"/>
      <c r="I15" s="31"/>
      <c r="J15" s="31"/>
      <c r="K15" s="13"/>
    </row>
    <row r="16" spans="1:17" x14ac:dyDescent="0.25">
      <c r="B16" s="16"/>
      <c r="C16" s="30"/>
      <c r="D16" s="17"/>
      <c r="E16" s="16"/>
      <c r="F16" s="17"/>
      <c r="G16" s="16"/>
      <c r="H16" s="18"/>
      <c r="I16" s="31"/>
      <c r="J16" s="31"/>
      <c r="K16" s="13"/>
    </row>
    <row r="17" spans="2:13" x14ac:dyDescent="0.25">
      <c r="B17" s="32" t="s">
        <v>21</v>
      </c>
      <c r="C17" s="29"/>
      <c r="D17" s="29"/>
      <c r="E17" s="29"/>
      <c r="F17" s="29"/>
      <c r="G17" s="29"/>
      <c r="H17" s="29"/>
      <c r="I17" s="29"/>
      <c r="J17" s="29"/>
      <c r="K17" s="29"/>
      <c r="L17" s="29"/>
      <c r="M17" s="29"/>
    </row>
    <row r="18" spans="2:13" x14ac:dyDescent="0.25">
      <c r="B18" s="33" t="s">
        <v>22</v>
      </c>
    </row>
    <row r="20" spans="2:13" x14ac:dyDescent="0.25">
      <c r="C20" s="34">
        <v>0.20634939357852147</v>
      </c>
      <c r="D20" s="33" t="s">
        <v>23</v>
      </c>
      <c r="F20" s="33"/>
      <c r="J20" s="35"/>
    </row>
    <row r="21" spans="2:13" x14ac:dyDescent="0.25">
      <c r="C21" s="34">
        <v>0.27151235997173873</v>
      </c>
      <c r="D21" s="33" t="s">
        <v>24</v>
      </c>
      <c r="F21" s="33"/>
      <c r="J21" s="35"/>
    </row>
    <row r="22" spans="2:13" x14ac:dyDescent="0.25">
      <c r="C22" s="34">
        <v>0.37167025276131355</v>
      </c>
      <c r="D22" s="33" t="s">
        <v>25</v>
      </c>
      <c r="F22" s="33"/>
      <c r="J22" s="35"/>
    </row>
    <row r="23" spans="2:13" x14ac:dyDescent="0.25">
      <c r="C23" s="34">
        <v>0.46700125915139068</v>
      </c>
      <c r="D23" s="33" t="s">
        <v>26</v>
      </c>
      <c r="F23" s="33"/>
      <c r="J23" s="35"/>
    </row>
    <row r="29" spans="2:13" ht="15.6" x14ac:dyDescent="0.25">
      <c r="B29" s="36"/>
      <c r="C29"/>
    </row>
    <row r="30" spans="2:13" x14ac:dyDescent="0.25">
      <c r="B30"/>
    </row>
    <row r="31" spans="2:13" ht="15.6" x14ac:dyDescent="0.25">
      <c r="B31" s="36"/>
      <c r="C31"/>
    </row>
  </sheetData>
  <sheetProtection selectLockedCells="1" selectUnlockedCells="1"/>
  <pageMargins left="0.75" right="0.75" top="1" bottom="1" header="0.5" footer="0.5"/>
  <pageSetup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006BD-28C5-48F4-892D-E0EF05FB6350}">
  <dimension ref="A1:R34"/>
  <sheetViews>
    <sheetView showGridLines="0" workbookViewId="0">
      <selection activeCell="J26" sqref="J26"/>
    </sheetView>
  </sheetViews>
  <sheetFormatPr defaultColWidth="9.109375" defaultRowHeight="13.2" x14ac:dyDescent="0.25"/>
  <cols>
    <col min="1" max="1" width="2.5546875" style="38" customWidth="1"/>
    <col min="2" max="3" width="8.44140625" style="41" customWidth="1"/>
    <col min="4" max="4" width="6.33203125" style="41" customWidth="1"/>
    <col min="5" max="5" width="9" style="41" bestFit="1" customWidth="1"/>
    <col min="6" max="6" width="4.6640625" style="41" hidden="1" customWidth="1"/>
    <col min="7" max="7" width="7.5546875" style="41" customWidth="1"/>
    <col min="8" max="8" width="8.44140625" style="41" customWidth="1"/>
    <col min="9" max="9" width="10" style="41" customWidth="1"/>
    <col min="10" max="10" width="10.5546875" style="41" customWidth="1"/>
    <col min="11" max="11" width="6.6640625" style="41" bestFit="1" customWidth="1"/>
    <col min="12" max="12" width="14.33203125" style="41" customWidth="1"/>
    <col min="13" max="13" width="5.109375" style="38" customWidth="1"/>
    <col min="14" max="14" width="9.109375" style="38"/>
    <col min="15" max="15" width="15.88671875" style="80" hidden="1" customWidth="1"/>
    <col min="16" max="16" width="26.88671875" style="83" hidden="1" customWidth="1"/>
    <col min="17" max="17" width="7.5546875" style="87" hidden="1" customWidth="1"/>
    <col min="18" max="18" width="37.109375" style="80" hidden="1" customWidth="1"/>
    <col min="19" max="16384" width="9.109375" style="38"/>
  </cols>
  <sheetData>
    <row r="1" spans="1:18" x14ac:dyDescent="0.25">
      <c r="A1" s="37" t="s">
        <v>31</v>
      </c>
      <c r="O1" s="80" t="s">
        <v>97</v>
      </c>
      <c r="P1" s="124">
        <v>1.0149999999999999</v>
      </c>
    </row>
    <row r="2" spans="1:18" x14ac:dyDescent="0.25">
      <c r="A2" s="37" t="s">
        <v>30</v>
      </c>
    </row>
    <row r="3" spans="1:18" s="41" customFormat="1" x14ac:dyDescent="0.25">
      <c r="A3" s="40" t="s">
        <v>0</v>
      </c>
      <c r="D3" s="42"/>
      <c r="E3" s="42"/>
      <c r="F3" s="42"/>
      <c r="G3" s="43"/>
      <c r="H3" s="43"/>
      <c r="I3" s="43"/>
      <c r="J3" s="43"/>
      <c r="K3" s="43"/>
      <c r="L3" s="43"/>
      <c r="M3" s="43"/>
      <c r="O3" s="81"/>
      <c r="P3" s="125"/>
      <c r="Q3" s="87"/>
      <c r="R3" s="81"/>
    </row>
    <row r="4" spans="1:18" s="41" customFormat="1" x14ac:dyDescent="0.25">
      <c r="A4" s="40" t="s">
        <v>47</v>
      </c>
      <c r="D4" s="119" t="s">
        <v>101</v>
      </c>
      <c r="E4" s="42"/>
      <c r="F4" s="42"/>
      <c r="G4" s="43"/>
      <c r="H4" s="43"/>
      <c r="I4" s="43"/>
      <c r="O4" s="81"/>
      <c r="P4" s="125"/>
      <c r="Q4" s="87"/>
      <c r="R4" s="81"/>
    </row>
    <row r="5" spans="1:18" x14ac:dyDescent="0.25">
      <c r="A5" s="37"/>
    </row>
    <row r="6" spans="1:18" x14ac:dyDescent="0.25">
      <c r="A6" s="37" t="s">
        <v>48</v>
      </c>
    </row>
    <row r="7" spans="1:18" x14ac:dyDescent="0.25">
      <c r="C7" s="40"/>
      <c r="D7" s="44"/>
      <c r="E7" s="42"/>
      <c r="F7" s="44"/>
      <c r="G7" s="42"/>
      <c r="H7" s="45"/>
      <c r="I7" s="45"/>
      <c r="J7" s="45"/>
      <c r="K7" s="45"/>
    </row>
    <row r="8" spans="1:18" ht="27" thickBot="1" x14ac:dyDescent="0.3">
      <c r="B8" s="46" t="s">
        <v>3</v>
      </c>
      <c r="C8" s="46" t="s">
        <v>4</v>
      </c>
      <c r="D8" s="46" t="s">
        <v>5</v>
      </c>
      <c r="E8" s="47" t="s">
        <v>32</v>
      </c>
      <c r="F8" s="46" t="s">
        <v>7</v>
      </c>
      <c r="G8" s="46" t="s">
        <v>45</v>
      </c>
      <c r="H8" s="46" t="s">
        <v>46</v>
      </c>
      <c r="I8" s="46" t="s">
        <v>10</v>
      </c>
      <c r="J8" s="48"/>
      <c r="K8" s="48"/>
      <c r="L8" s="89"/>
      <c r="O8" s="83" t="s">
        <v>3</v>
      </c>
      <c r="P8" s="83" t="s">
        <v>59</v>
      </c>
      <c r="Q8" s="87" t="s">
        <v>60</v>
      </c>
    </row>
    <row r="9" spans="1:18" x14ac:dyDescent="0.25">
      <c r="B9" s="50" t="s">
        <v>11</v>
      </c>
      <c r="C9" s="90" t="s">
        <v>12</v>
      </c>
      <c r="D9" s="52" t="s">
        <v>13</v>
      </c>
      <c r="E9" s="53" t="s">
        <v>29</v>
      </c>
      <c r="F9" s="52">
        <v>313</v>
      </c>
      <c r="G9" s="50">
        <v>6</v>
      </c>
      <c r="H9" s="52" t="s">
        <v>15</v>
      </c>
      <c r="I9" s="54">
        <f>ROUND(((('October 2020'!I9+0.42+(0.1-0.07))*July2021IncrPerc)-0.42),3)</f>
        <v>33.956000000000003</v>
      </c>
      <c r="O9" s="83" t="str">
        <f>B9</f>
        <v>06460C</v>
      </c>
      <c r="P9" s="84" t="str">
        <f>C9</f>
        <v>01</v>
      </c>
      <c r="Q9" s="85">
        <f>I9</f>
        <v>33.956000000000003</v>
      </c>
      <c r="R9" s="80" t="s">
        <v>106</v>
      </c>
    </row>
    <row r="10" spans="1:18" s="56" customFormat="1" x14ac:dyDescent="0.25">
      <c r="B10" s="61"/>
      <c r="C10" s="61"/>
      <c r="D10" s="61"/>
      <c r="E10" s="61"/>
      <c r="F10" s="61"/>
      <c r="G10" s="61"/>
      <c r="H10" s="57"/>
      <c r="I10" s="61"/>
      <c r="J10" s="61"/>
      <c r="K10" s="61"/>
      <c r="L10" s="61"/>
      <c r="O10" s="123"/>
      <c r="P10" s="123"/>
      <c r="Q10" s="126"/>
      <c r="R10" s="82"/>
    </row>
    <row r="11" spans="1:18" s="56" customFormat="1" x14ac:dyDescent="0.25">
      <c r="B11" s="61"/>
      <c r="C11" s="61"/>
      <c r="D11" s="61"/>
      <c r="E11" s="61"/>
      <c r="F11" s="61"/>
      <c r="G11" s="61"/>
      <c r="H11" s="58"/>
      <c r="I11" s="61"/>
      <c r="J11" s="61"/>
      <c r="K11" s="61"/>
      <c r="L11" s="61"/>
      <c r="O11" s="123"/>
      <c r="P11" s="123"/>
      <c r="Q11" s="126"/>
      <c r="R11" s="82"/>
    </row>
    <row r="12" spans="1:18" s="56" customFormat="1" x14ac:dyDescent="0.25">
      <c r="B12" s="59" t="s">
        <v>43</v>
      </c>
      <c r="C12" s="61"/>
      <c r="D12" s="61"/>
      <c r="E12" s="61"/>
      <c r="F12" s="61"/>
      <c r="G12" s="61"/>
      <c r="H12" s="60"/>
      <c r="I12" s="61"/>
      <c r="J12" s="61"/>
      <c r="K12" s="61"/>
      <c r="L12" s="61"/>
      <c r="O12" s="122" t="s">
        <v>81</v>
      </c>
      <c r="P12" s="122" t="s">
        <v>108</v>
      </c>
      <c r="Q12" s="126">
        <v>0.42</v>
      </c>
      <c r="R12" s="121" t="s">
        <v>109</v>
      </c>
    </row>
    <row r="13" spans="1:18" s="56" customFormat="1" x14ac:dyDescent="0.25">
      <c r="B13" s="61"/>
      <c r="C13" s="61" t="s">
        <v>17</v>
      </c>
      <c r="D13" s="61"/>
      <c r="E13" s="61"/>
      <c r="F13" s="61"/>
      <c r="G13" s="61"/>
      <c r="H13" s="60"/>
      <c r="I13" s="61"/>
      <c r="J13" s="61"/>
      <c r="K13" s="61"/>
      <c r="L13" s="61"/>
      <c r="O13" s="123"/>
      <c r="P13" s="123"/>
      <c r="Q13" s="126"/>
      <c r="R13" s="82"/>
    </row>
    <row r="14" spans="1:18" s="56" customFormat="1" x14ac:dyDescent="0.25">
      <c r="B14" s="61"/>
      <c r="C14" s="61"/>
      <c r="D14" s="61"/>
      <c r="E14" s="61"/>
      <c r="F14" s="61"/>
      <c r="G14" s="61"/>
      <c r="H14" s="60"/>
      <c r="I14" s="61"/>
      <c r="J14" s="61"/>
      <c r="K14" s="61"/>
      <c r="L14" s="61"/>
      <c r="M14" s="62"/>
      <c r="O14" s="123"/>
      <c r="P14" s="123"/>
      <c r="Q14" s="126"/>
      <c r="R14" s="82"/>
    </row>
    <row r="15" spans="1:18" x14ac:dyDescent="0.25">
      <c r="B15" s="63" t="s">
        <v>35</v>
      </c>
      <c r="C15" s="64"/>
      <c r="D15" s="65"/>
      <c r="E15" s="66"/>
      <c r="F15" s="65"/>
      <c r="G15" s="66"/>
      <c r="H15" s="67"/>
      <c r="I15" s="66"/>
      <c r="J15" s="66"/>
      <c r="K15" s="91"/>
      <c r="L15" s="91"/>
      <c r="M15" s="49"/>
      <c r="O15" s="123" t="s">
        <v>57</v>
      </c>
      <c r="P15" s="123" t="s">
        <v>58</v>
      </c>
      <c r="Q15" s="87">
        <v>0.4</v>
      </c>
    </row>
    <row r="16" spans="1:18" x14ac:dyDescent="0.25">
      <c r="B16" s="52"/>
      <c r="C16" s="69" t="s">
        <v>36</v>
      </c>
      <c r="D16" s="53"/>
      <c r="E16" s="52"/>
      <c r="F16" s="53"/>
      <c r="G16" s="52"/>
      <c r="H16" s="54"/>
      <c r="I16" s="70"/>
      <c r="J16" s="70"/>
      <c r="K16" s="89"/>
      <c r="M16" s="49"/>
      <c r="O16" s="123" t="s">
        <v>61</v>
      </c>
      <c r="P16" s="123" t="s">
        <v>62</v>
      </c>
      <c r="Q16" s="87">
        <v>0.4</v>
      </c>
    </row>
    <row r="17" spans="2:17" x14ac:dyDescent="0.25">
      <c r="B17" s="52"/>
      <c r="C17" s="41" t="s">
        <v>33</v>
      </c>
      <c r="D17" s="53"/>
      <c r="E17" s="52"/>
      <c r="F17" s="53"/>
      <c r="G17" s="52"/>
      <c r="H17" s="54"/>
      <c r="I17" s="70"/>
      <c r="J17" s="70"/>
      <c r="K17" s="89"/>
      <c r="M17" s="49"/>
      <c r="O17" s="83"/>
    </row>
    <row r="18" spans="2:17" x14ac:dyDescent="0.25">
      <c r="B18" s="52"/>
      <c r="C18" s="41" t="s">
        <v>34</v>
      </c>
      <c r="D18" s="53"/>
      <c r="E18" s="52"/>
      <c r="F18" s="53"/>
      <c r="G18" s="52"/>
      <c r="H18" s="54"/>
      <c r="I18" s="70"/>
      <c r="J18" s="70"/>
      <c r="K18" s="89"/>
      <c r="M18" s="49"/>
      <c r="O18" s="83"/>
    </row>
    <row r="19" spans="2:17" x14ac:dyDescent="0.25">
      <c r="B19" s="52"/>
      <c r="D19" s="53"/>
      <c r="E19" s="52"/>
      <c r="F19" s="53"/>
      <c r="G19" s="52"/>
      <c r="H19" s="54"/>
      <c r="I19" s="70"/>
      <c r="J19" s="70"/>
      <c r="K19" s="89"/>
      <c r="M19" s="49"/>
      <c r="O19" s="83"/>
    </row>
    <row r="20" spans="2:17" x14ac:dyDescent="0.25">
      <c r="B20" s="71" t="s">
        <v>21</v>
      </c>
      <c r="C20" s="91"/>
      <c r="D20" s="91"/>
      <c r="E20" s="91"/>
      <c r="F20" s="91"/>
      <c r="G20" s="91"/>
      <c r="H20" s="91"/>
      <c r="I20" s="91"/>
      <c r="J20" s="91"/>
      <c r="K20" s="91"/>
      <c r="L20" s="91"/>
      <c r="M20" s="49"/>
      <c r="O20" s="83"/>
    </row>
    <row r="21" spans="2:17" x14ac:dyDescent="0.25">
      <c r="B21" s="72" t="s">
        <v>22</v>
      </c>
      <c r="M21" s="49"/>
      <c r="O21" s="83"/>
    </row>
    <row r="22" spans="2:17" x14ac:dyDescent="0.25">
      <c r="O22" s="83" t="s">
        <v>75</v>
      </c>
      <c r="Q22" s="87" t="s">
        <v>76</v>
      </c>
    </row>
    <row r="23" spans="2:17" x14ac:dyDescent="0.25">
      <c r="C23" s="73">
        <v>0.31</v>
      </c>
      <c r="D23" s="72" t="s">
        <v>23</v>
      </c>
      <c r="F23" s="72"/>
      <c r="J23" s="73"/>
      <c r="O23" s="83" t="s">
        <v>63</v>
      </c>
      <c r="Q23" s="127">
        <f>C23</f>
        <v>0.31</v>
      </c>
    </row>
    <row r="24" spans="2:17" x14ac:dyDescent="0.25">
      <c r="C24" s="73">
        <v>0.4</v>
      </c>
      <c r="D24" s="72" t="s">
        <v>24</v>
      </c>
      <c r="F24" s="72"/>
      <c r="J24" s="73"/>
      <c r="O24" s="83" t="s">
        <v>64</v>
      </c>
      <c r="Q24" s="127">
        <f t="shared" ref="Q24:Q26" si="0">C24</f>
        <v>0.4</v>
      </c>
    </row>
    <row r="25" spans="2:17" x14ac:dyDescent="0.25">
      <c r="C25" s="73">
        <v>0.47</v>
      </c>
      <c r="D25" s="72" t="s">
        <v>25</v>
      </c>
      <c r="F25" s="72"/>
      <c r="J25" s="73"/>
      <c r="O25" s="83" t="s">
        <v>65</v>
      </c>
      <c r="Q25" s="127">
        <f t="shared" si="0"/>
        <v>0.47</v>
      </c>
    </row>
    <row r="26" spans="2:17" x14ac:dyDescent="0.25">
      <c r="C26" s="73">
        <v>0.57999999999999996</v>
      </c>
      <c r="D26" s="72" t="s">
        <v>26</v>
      </c>
      <c r="F26" s="72"/>
      <c r="J26" s="73"/>
      <c r="O26" s="83" t="s">
        <v>66</v>
      </c>
      <c r="Q26" s="127">
        <f t="shared" si="0"/>
        <v>0.57999999999999996</v>
      </c>
    </row>
    <row r="28" spans="2:17" x14ac:dyDescent="0.25">
      <c r="B28" s="92" t="s">
        <v>67</v>
      </c>
    </row>
    <row r="29" spans="2:17" x14ac:dyDescent="0.25">
      <c r="B29" s="41" t="s">
        <v>38</v>
      </c>
    </row>
    <row r="32" spans="2:17" ht="12.75" x14ac:dyDescent="0.2">
      <c r="B32" s="93"/>
      <c r="C32" s="61"/>
    </row>
    <row r="33" spans="2:3" ht="12.75" x14ac:dyDescent="0.2">
      <c r="B33" s="61"/>
    </row>
    <row r="34" spans="2:3" ht="12.75" x14ac:dyDescent="0.2">
      <c r="B34" s="93"/>
      <c r="C34" s="61"/>
    </row>
  </sheetData>
  <pageMargins left="0.7" right="0.7"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41A1C-E9E2-4103-A887-4EBD4B0F7EA2}">
  <dimension ref="A1:R34"/>
  <sheetViews>
    <sheetView showGridLines="0" workbookViewId="0">
      <selection activeCell="J26" sqref="J26"/>
    </sheetView>
  </sheetViews>
  <sheetFormatPr defaultColWidth="9.109375" defaultRowHeight="13.2" x14ac:dyDescent="0.25"/>
  <cols>
    <col min="1" max="1" width="2.5546875" style="38" customWidth="1"/>
    <col min="2" max="2" width="8.44140625" style="41" customWidth="1"/>
    <col min="3" max="3" width="7" style="41" customWidth="1"/>
    <col min="4" max="4" width="6.33203125" style="41" customWidth="1"/>
    <col min="5" max="5" width="9" style="41" bestFit="1" customWidth="1"/>
    <col min="6" max="6" width="4.6640625" style="41" hidden="1" customWidth="1"/>
    <col min="7" max="7" width="7.5546875" style="41" customWidth="1"/>
    <col min="8" max="8" width="8.44140625" style="41" customWidth="1"/>
    <col min="9" max="9" width="10" style="41" customWidth="1"/>
    <col min="10" max="10" width="10.5546875" style="41" customWidth="1"/>
    <col min="11" max="11" width="6.6640625" style="41" bestFit="1" customWidth="1"/>
    <col min="12" max="12" width="14.33203125" style="41" customWidth="1"/>
    <col min="13" max="13" width="5.109375" style="38" customWidth="1"/>
    <col min="14" max="14" width="9.109375" style="38"/>
    <col min="15" max="15" width="8.88671875" style="80" hidden="1" customWidth="1"/>
    <col min="16" max="16" width="26.88671875" style="80" hidden="1" customWidth="1"/>
    <col min="17" max="17" width="7.5546875" style="86" hidden="1" customWidth="1"/>
    <col min="18" max="18" width="15" style="80" hidden="1" customWidth="1"/>
    <col min="19" max="16384" width="9.109375" style="38"/>
  </cols>
  <sheetData>
    <row r="1" spans="1:18" x14ac:dyDescent="0.25">
      <c r="A1" s="37" t="s">
        <v>31</v>
      </c>
    </row>
    <row r="2" spans="1:18" x14ac:dyDescent="0.25">
      <c r="A2" s="37" t="s">
        <v>30</v>
      </c>
    </row>
    <row r="3" spans="1:18" s="41" customFormat="1" x14ac:dyDescent="0.25">
      <c r="A3" s="40" t="s">
        <v>0</v>
      </c>
      <c r="D3" s="42"/>
      <c r="E3" s="42"/>
      <c r="F3" s="42"/>
      <c r="G3" s="43"/>
      <c r="H3" s="43"/>
      <c r="I3" s="43"/>
      <c r="J3" s="43"/>
      <c r="K3" s="43"/>
      <c r="L3" s="43"/>
      <c r="M3" s="43"/>
      <c r="O3" s="81"/>
      <c r="P3" s="81"/>
      <c r="Q3" s="86"/>
      <c r="R3" s="81"/>
    </row>
    <row r="4" spans="1:18" s="41" customFormat="1" x14ac:dyDescent="0.25">
      <c r="A4" s="40" t="s">
        <v>107</v>
      </c>
      <c r="D4" s="42"/>
      <c r="E4" s="42"/>
      <c r="F4" s="42"/>
      <c r="G4" s="43"/>
      <c r="H4" s="43"/>
      <c r="I4" s="43"/>
      <c r="O4" s="81"/>
      <c r="P4" s="81"/>
      <c r="Q4" s="86"/>
      <c r="R4" s="81"/>
    </row>
    <row r="5" spans="1:18" x14ac:dyDescent="0.25">
      <c r="A5" s="37"/>
    </row>
    <row r="6" spans="1:18" x14ac:dyDescent="0.25">
      <c r="A6" s="37" t="s">
        <v>50</v>
      </c>
    </row>
    <row r="7" spans="1:18" x14ac:dyDescent="0.25">
      <c r="C7" s="40"/>
      <c r="D7" s="44"/>
      <c r="E7" s="42"/>
      <c r="F7" s="44"/>
      <c r="G7" s="42"/>
      <c r="H7" s="45"/>
      <c r="I7" s="45"/>
      <c r="J7" s="45"/>
      <c r="K7" s="45"/>
    </row>
    <row r="8" spans="1:18" ht="27" thickBot="1" x14ac:dyDescent="0.3">
      <c r="B8" s="46" t="s">
        <v>3</v>
      </c>
      <c r="C8" s="46" t="s">
        <v>4</v>
      </c>
      <c r="D8" s="46" t="s">
        <v>5</v>
      </c>
      <c r="E8" s="47" t="s">
        <v>32</v>
      </c>
      <c r="F8" s="46" t="s">
        <v>7</v>
      </c>
      <c r="G8" s="46" t="s">
        <v>45</v>
      </c>
      <c r="H8" s="46" t="s">
        <v>46</v>
      </c>
      <c r="I8" s="46" t="s">
        <v>10</v>
      </c>
      <c r="J8" s="48"/>
      <c r="K8" s="48"/>
      <c r="L8" s="89"/>
      <c r="O8" s="83" t="s">
        <v>3</v>
      </c>
      <c r="P8" s="83" t="s">
        <v>59</v>
      </c>
      <c r="Q8" s="87" t="s">
        <v>60</v>
      </c>
    </row>
    <row r="9" spans="1:18" x14ac:dyDescent="0.25">
      <c r="B9" s="50" t="s">
        <v>11</v>
      </c>
      <c r="C9" s="90" t="s">
        <v>12</v>
      </c>
      <c r="D9" s="52" t="s">
        <v>13</v>
      </c>
      <c r="E9" s="53" t="s">
        <v>29</v>
      </c>
      <c r="F9" s="52">
        <v>313</v>
      </c>
      <c r="G9" s="50">
        <v>6</v>
      </c>
      <c r="H9" s="52" t="s">
        <v>15</v>
      </c>
      <c r="I9" s="54">
        <f>ROUND(((('July 2021'!I9+0.42))-0.43),3)</f>
        <v>33.945999999999998</v>
      </c>
      <c r="O9" s="83" t="str">
        <f>B9</f>
        <v>06460C</v>
      </c>
      <c r="P9" s="84" t="str">
        <f>C9</f>
        <v>01</v>
      </c>
      <c r="Q9" s="85">
        <f>I9</f>
        <v>33.945999999999998</v>
      </c>
    </row>
    <row r="10" spans="1:18" s="56" customFormat="1" x14ac:dyDescent="0.25">
      <c r="B10" s="61"/>
      <c r="C10" s="61"/>
      <c r="D10" s="61"/>
      <c r="E10" s="61"/>
      <c r="F10" s="61"/>
      <c r="G10" s="61"/>
      <c r="H10" s="57"/>
      <c r="I10" s="61"/>
      <c r="J10" s="120"/>
      <c r="K10" s="61"/>
      <c r="L10" s="61"/>
      <c r="O10" s="82"/>
      <c r="P10" s="82"/>
      <c r="Q10" s="88"/>
      <c r="R10" s="82"/>
    </row>
    <row r="11" spans="1:18" s="56" customFormat="1" x14ac:dyDescent="0.25">
      <c r="B11" s="61"/>
      <c r="C11" s="61"/>
      <c r="D11" s="61"/>
      <c r="E11" s="61"/>
      <c r="F11" s="61"/>
      <c r="G11" s="61"/>
      <c r="H11" s="58"/>
      <c r="I11" s="61"/>
      <c r="J11" s="61"/>
      <c r="K11" s="61"/>
      <c r="L11" s="61"/>
      <c r="O11" s="82"/>
      <c r="P11" s="82"/>
      <c r="Q11" s="88"/>
      <c r="R11" s="82"/>
    </row>
    <row r="12" spans="1:18" s="56" customFormat="1" x14ac:dyDescent="0.25">
      <c r="B12" s="59" t="s">
        <v>44</v>
      </c>
      <c r="C12" s="61"/>
      <c r="D12" s="61"/>
      <c r="E12" s="61"/>
      <c r="F12" s="61"/>
      <c r="G12" s="61"/>
      <c r="H12" s="60"/>
      <c r="I12" s="61"/>
      <c r="J12" s="61"/>
      <c r="K12" s="61"/>
      <c r="L12" s="61"/>
      <c r="O12" s="82" t="s">
        <v>81</v>
      </c>
      <c r="P12" s="122" t="s">
        <v>108</v>
      </c>
      <c r="Q12" s="88">
        <v>0.43</v>
      </c>
      <c r="R12" s="121" t="s">
        <v>109</v>
      </c>
    </row>
    <row r="13" spans="1:18" s="56" customFormat="1" x14ac:dyDescent="0.25">
      <c r="B13" s="61"/>
      <c r="C13" s="61" t="s">
        <v>17</v>
      </c>
      <c r="D13" s="61"/>
      <c r="E13" s="61"/>
      <c r="F13" s="61"/>
      <c r="G13" s="61"/>
      <c r="H13" s="60"/>
      <c r="I13" s="61"/>
      <c r="J13" s="61"/>
      <c r="K13" s="61"/>
      <c r="L13" s="61"/>
      <c r="O13" s="82"/>
      <c r="P13" s="82"/>
      <c r="Q13" s="88"/>
      <c r="R13" s="82"/>
    </row>
    <row r="14" spans="1:18" s="56" customFormat="1" x14ac:dyDescent="0.25">
      <c r="B14" s="61"/>
      <c r="C14" s="61"/>
      <c r="D14" s="61"/>
      <c r="E14" s="61"/>
      <c r="F14" s="61"/>
      <c r="G14" s="61"/>
      <c r="H14" s="60"/>
      <c r="I14" s="61"/>
      <c r="J14" s="61"/>
      <c r="K14" s="61"/>
      <c r="L14" s="61"/>
      <c r="M14" s="62"/>
      <c r="O14" s="82"/>
      <c r="P14" s="82"/>
      <c r="Q14" s="88"/>
      <c r="R14" s="82"/>
    </row>
    <row r="15" spans="1:18" x14ac:dyDescent="0.25">
      <c r="B15" s="63" t="s">
        <v>35</v>
      </c>
      <c r="C15" s="64"/>
      <c r="D15" s="65"/>
      <c r="E15" s="66"/>
      <c r="F15" s="65"/>
      <c r="G15" s="66"/>
      <c r="H15" s="67"/>
      <c r="I15" s="66"/>
      <c r="J15" s="66"/>
      <c r="K15" s="91"/>
      <c r="L15" s="91"/>
      <c r="M15" s="49"/>
      <c r="O15" s="82" t="s">
        <v>57</v>
      </c>
      <c r="P15" s="82" t="s">
        <v>58</v>
      </c>
      <c r="Q15" s="86">
        <v>0.4</v>
      </c>
    </row>
    <row r="16" spans="1:18" x14ac:dyDescent="0.25">
      <c r="B16" s="52"/>
      <c r="C16" s="69" t="s">
        <v>36</v>
      </c>
      <c r="D16" s="53"/>
      <c r="E16" s="52"/>
      <c r="F16" s="53"/>
      <c r="G16" s="52"/>
      <c r="H16" s="54"/>
      <c r="I16" s="70"/>
      <c r="J16" s="70"/>
      <c r="K16" s="89"/>
      <c r="M16" s="49"/>
      <c r="O16" s="82" t="s">
        <v>61</v>
      </c>
      <c r="P16" s="82" t="s">
        <v>62</v>
      </c>
      <c r="Q16" s="86">
        <v>0.4</v>
      </c>
    </row>
    <row r="17" spans="2:17" x14ac:dyDescent="0.25">
      <c r="B17" s="52"/>
      <c r="C17" s="41" t="s">
        <v>33</v>
      </c>
      <c r="D17" s="53"/>
      <c r="E17" s="52"/>
      <c r="F17" s="53"/>
      <c r="G17" s="52"/>
      <c r="H17" s="54"/>
      <c r="I17" s="70"/>
      <c r="J17" s="70"/>
      <c r="K17" s="89"/>
      <c r="M17" s="49"/>
    </row>
    <row r="18" spans="2:17" x14ac:dyDescent="0.25">
      <c r="B18" s="52"/>
      <c r="C18" s="41" t="s">
        <v>34</v>
      </c>
      <c r="D18" s="53"/>
      <c r="E18" s="52"/>
      <c r="F18" s="53"/>
      <c r="G18" s="52"/>
      <c r="H18" s="54"/>
      <c r="I18" s="70"/>
      <c r="J18" s="70"/>
      <c r="K18" s="89"/>
      <c r="M18" s="49"/>
    </row>
    <row r="19" spans="2:17" x14ac:dyDescent="0.25">
      <c r="B19" s="52"/>
      <c r="D19" s="53"/>
      <c r="E19" s="52"/>
      <c r="F19" s="53"/>
      <c r="G19" s="52"/>
      <c r="H19" s="54"/>
      <c r="I19" s="70"/>
      <c r="J19" s="70"/>
      <c r="K19" s="89"/>
      <c r="M19" s="49"/>
    </row>
    <row r="20" spans="2:17" x14ac:dyDescent="0.25">
      <c r="B20" s="71" t="s">
        <v>21</v>
      </c>
      <c r="C20" s="91"/>
      <c r="D20" s="91"/>
      <c r="E20" s="91"/>
      <c r="F20" s="91"/>
      <c r="G20" s="91"/>
      <c r="H20" s="91"/>
      <c r="I20" s="91"/>
      <c r="J20" s="91"/>
      <c r="K20" s="91"/>
      <c r="L20" s="91"/>
      <c r="M20" s="49"/>
    </row>
    <row r="21" spans="2:17" x14ac:dyDescent="0.25">
      <c r="B21" s="72" t="s">
        <v>22</v>
      </c>
      <c r="M21" s="49"/>
    </row>
    <row r="22" spans="2:17" x14ac:dyDescent="0.25">
      <c r="O22" s="80" t="s">
        <v>75</v>
      </c>
      <c r="Q22" s="87" t="s">
        <v>76</v>
      </c>
    </row>
    <row r="23" spans="2:17" x14ac:dyDescent="0.25">
      <c r="C23" s="73">
        <f>'July 2021'!C23</f>
        <v>0.31</v>
      </c>
      <c r="D23" s="72" t="s">
        <v>23</v>
      </c>
      <c r="F23" s="72"/>
      <c r="J23" s="73"/>
      <c r="O23" s="80" t="s">
        <v>63</v>
      </c>
      <c r="Q23" s="96">
        <f>C23</f>
        <v>0.31</v>
      </c>
    </row>
    <row r="24" spans="2:17" x14ac:dyDescent="0.25">
      <c r="C24" s="73">
        <f>'July 2021'!C24</f>
        <v>0.4</v>
      </c>
      <c r="D24" s="72" t="s">
        <v>24</v>
      </c>
      <c r="F24" s="72"/>
      <c r="J24" s="73"/>
      <c r="O24" s="80" t="s">
        <v>64</v>
      </c>
      <c r="Q24" s="96">
        <f t="shared" ref="Q24:Q26" si="0">C24</f>
        <v>0.4</v>
      </c>
    </row>
    <row r="25" spans="2:17" x14ac:dyDescent="0.25">
      <c r="C25" s="73">
        <f>'July 2021'!C25</f>
        <v>0.47</v>
      </c>
      <c r="D25" s="72" t="s">
        <v>25</v>
      </c>
      <c r="F25" s="72"/>
      <c r="J25" s="73"/>
      <c r="O25" s="80" t="s">
        <v>65</v>
      </c>
      <c r="Q25" s="96">
        <f t="shared" si="0"/>
        <v>0.47</v>
      </c>
    </row>
    <row r="26" spans="2:17" x14ac:dyDescent="0.25">
      <c r="C26" s="73">
        <f>'July 2021'!C26</f>
        <v>0.57999999999999996</v>
      </c>
      <c r="D26" s="72" t="s">
        <v>26</v>
      </c>
      <c r="F26" s="72"/>
      <c r="J26" s="73"/>
      <c r="O26" s="80" t="s">
        <v>66</v>
      </c>
      <c r="Q26" s="96">
        <f t="shared" si="0"/>
        <v>0.57999999999999996</v>
      </c>
    </row>
    <row r="28" spans="2:17" x14ac:dyDescent="0.25">
      <c r="B28" s="92" t="s">
        <v>67</v>
      </c>
    </row>
    <row r="29" spans="2:17" x14ac:dyDescent="0.25">
      <c r="B29" s="41" t="s">
        <v>38</v>
      </c>
    </row>
    <row r="32" spans="2:17" ht="12.75" x14ac:dyDescent="0.2">
      <c r="B32" s="93"/>
      <c r="C32" s="61"/>
    </row>
    <row r="33" spans="2:3" ht="12.75" x14ac:dyDescent="0.2">
      <c r="B33" s="61"/>
    </row>
    <row r="34" spans="2:3" ht="12.75" x14ac:dyDescent="0.2">
      <c r="B34" s="93"/>
      <c r="C34" s="61"/>
    </row>
  </sheetData>
  <pageMargins left="0.7" right="0.7" top="0.75" bottom="0.75" header="0.3" footer="0.3"/>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A4EF8-F42B-4174-B6E3-CE5B9DB07E6E}">
  <dimension ref="A1:R34"/>
  <sheetViews>
    <sheetView showGridLines="0" workbookViewId="0">
      <selection activeCell="J26" sqref="J26"/>
    </sheetView>
  </sheetViews>
  <sheetFormatPr defaultColWidth="9.109375" defaultRowHeight="13.2" x14ac:dyDescent="0.25"/>
  <cols>
    <col min="1" max="1" width="2.5546875" style="38" customWidth="1"/>
    <col min="2" max="2" width="8.44140625" style="41" customWidth="1"/>
    <col min="3" max="3" width="9.5546875" style="41" customWidth="1"/>
    <col min="4" max="4" width="6.33203125" style="41" customWidth="1"/>
    <col min="5" max="5" width="9" style="41" bestFit="1" customWidth="1"/>
    <col min="6" max="6" width="4.6640625" style="41" hidden="1" customWidth="1"/>
    <col min="7" max="7" width="7.5546875" style="41" customWidth="1"/>
    <col min="8" max="8" width="8.44140625" style="41" customWidth="1"/>
    <col min="9" max="9" width="7.5546875" style="41" bestFit="1" customWidth="1"/>
    <col min="10" max="10" width="10.5546875" style="41" customWidth="1"/>
    <col min="11" max="11" width="7.5546875" style="41" bestFit="1" customWidth="1"/>
    <col min="12" max="12" width="14.33203125" style="41" customWidth="1"/>
    <col min="13" max="13" width="5.109375" style="38" customWidth="1"/>
    <col min="14" max="14" width="9.109375" style="38"/>
    <col min="15" max="15" width="15.88671875" style="83" hidden="1" customWidth="1"/>
    <col min="16" max="16" width="26.88671875" style="83" hidden="1" customWidth="1"/>
    <col min="17" max="17" width="7.5546875" style="87" hidden="1" customWidth="1"/>
    <col min="18" max="18" width="15" style="80" hidden="1" customWidth="1"/>
    <col min="19" max="16384" width="9.109375" style="38"/>
  </cols>
  <sheetData>
    <row r="1" spans="1:18" x14ac:dyDescent="0.25">
      <c r="A1" s="37" t="s">
        <v>31</v>
      </c>
      <c r="O1" s="83" t="s">
        <v>98</v>
      </c>
      <c r="P1" s="124">
        <v>1.0249999999999999</v>
      </c>
    </row>
    <row r="2" spans="1:18" x14ac:dyDescent="0.25">
      <c r="A2" s="37" t="s">
        <v>30</v>
      </c>
    </row>
    <row r="3" spans="1:18" s="41" customFormat="1" x14ac:dyDescent="0.25">
      <c r="A3" s="40" t="s">
        <v>0</v>
      </c>
      <c r="D3" s="42"/>
      <c r="E3" s="42"/>
      <c r="F3" s="42"/>
      <c r="G3" s="43"/>
      <c r="H3" s="43"/>
      <c r="I3" s="43"/>
      <c r="J3" s="43"/>
      <c r="K3" s="43"/>
      <c r="L3" s="43"/>
      <c r="M3" s="43"/>
      <c r="O3" s="125"/>
      <c r="P3" s="125"/>
      <c r="Q3" s="87"/>
      <c r="R3" s="81"/>
    </row>
    <row r="4" spans="1:18" s="41" customFormat="1" x14ac:dyDescent="0.25">
      <c r="A4" s="40" t="s">
        <v>99</v>
      </c>
      <c r="D4" s="119" t="s">
        <v>100</v>
      </c>
      <c r="E4" s="42"/>
      <c r="F4" s="42"/>
      <c r="G4" s="43"/>
      <c r="H4" s="43"/>
      <c r="I4" s="43"/>
      <c r="O4" s="125"/>
      <c r="P4" s="125"/>
      <c r="Q4" s="87"/>
      <c r="R4" s="81"/>
    </row>
    <row r="5" spans="1:18" x14ac:dyDescent="0.25">
      <c r="A5" s="37"/>
    </row>
    <row r="6" spans="1:18" x14ac:dyDescent="0.25">
      <c r="A6" s="37" t="s">
        <v>50</v>
      </c>
    </row>
    <row r="7" spans="1:18" x14ac:dyDescent="0.25">
      <c r="C7" s="40"/>
      <c r="D7" s="44"/>
      <c r="E7" s="42"/>
      <c r="F7" s="44"/>
      <c r="G7" s="42"/>
      <c r="H7" s="45"/>
      <c r="I7" s="45"/>
      <c r="J7" s="45"/>
      <c r="K7" s="45"/>
    </row>
    <row r="8" spans="1:18" ht="27" thickBot="1" x14ac:dyDescent="0.3">
      <c r="B8" s="46" t="s">
        <v>3</v>
      </c>
      <c r="C8" s="46" t="s">
        <v>4</v>
      </c>
      <c r="D8" s="46" t="s">
        <v>5</v>
      </c>
      <c r="E8" s="47" t="s">
        <v>32</v>
      </c>
      <c r="F8" s="46" t="s">
        <v>7</v>
      </c>
      <c r="G8" s="46" t="s">
        <v>45</v>
      </c>
      <c r="H8" s="46" t="s">
        <v>46</v>
      </c>
      <c r="I8" s="46" t="s">
        <v>10</v>
      </c>
      <c r="J8" s="48"/>
      <c r="K8" s="48"/>
      <c r="L8" s="89"/>
      <c r="O8" s="83" t="s">
        <v>3</v>
      </c>
      <c r="P8" s="83" t="s">
        <v>59</v>
      </c>
      <c r="Q8" s="87" t="s">
        <v>60</v>
      </c>
    </row>
    <row r="9" spans="1:18" x14ac:dyDescent="0.25">
      <c r="B9" s="50" t="s">
        <v>11</v>
      </c>
      <c r="C9" s="90" t="s">
        <v>12</v>
      </c>
      <c r="D9" s="52" t="s">
        <v>13</v>
      </c>
      <c r="E9" s="53" t="s">
        <v>29</v>
      </c>
      <c r="F9" s="52">
        <v>313</v>
      </c>
      <c r="G9" s="50">
        <v>6</v>
      </c>
      <c r="H9" s="52" t="s">
        <v>15</v>
      </c>
      <c r="I9" s="54">
        <f>ROUND(((('October 2021'!I9+0.42)*July2022IncrPerc)-0.43),3)</f>
        <v>34.795000000000002</v>
      </c>
      <c r="K9" s="73"/>
      <c r="O9" s="83" t="str">
        <f>B9</f>
        <v>06460C</v>
      </c>
      <c r="P9" s="84" t="str">
        <f>C9</f>
        <v>01</v>
      </c>
      <c r="Q9" s="85">
        <f>I9</f>
        <v>34.795000000000002</v>
      </c>
    </row>
    <row r="10" spans="1:18" s="56" customFormat="1" x14ac:dyDescent="0.25">
      <c r="B10" s="61"/>
      <c r="C10" s="61"/>
      <c r="D10" s="61"/>
      <c r="E10" s="61"/>
      <c r="F10" s="61"/>
      <c r="G10" s="61"/>
      <c r="H10" s="57"/>
      <c r="I10" s="61"/>
      <c r="J10" s="61"/>
      <c r="K10" s="61"/>
      <c r="L10" s="61"/>
      <c r="O10" s="123"/>
      <c r="P10" s="123"/>
      <c r="Q10" s="126"/>
      <c r="R10" s="82"/>
    </row>
    <row r="11" spans="1:18" s="56" customFormat="1" x14ac:dyDescent="0.25">
      <c r="B11" s="61"/>
      <c r="C11" s="61"/>
      <c r="D11" s="61"/>
      <c r="E11" s="61"/>
      <c r="F11" s="61"/>
      <c r="G11" s="61"/>
      <c r="H11" s="58"/>
      <c r="I11" s="61"/>
      <c r="J11" s="61"/>
      <c r="K11" s="61"/>
      <c r="L11" s="61"/>
      <c r="O11" s="123"/>
      <c r="P11" s="123"/>
      <c r="Q11" s="126"/>
      <c r="R11" s="82"/>
    </row>
    <row r="12" spans="1:18" s="56" customFormat="1" x14ac:dyDescent="0.25">
      <c r="B12" s="59" t="s">
        <v>44</v>
      </c>
      <c r="C12" s="61"/>
      <c r="D12" s="61"/>
      <c r="E12" s="61"/>
      <c r="F12" s="61"/>
      <c r="G12" s="61"/>
      <c r="H12" s="60"/>
      <c r="I12" s="61"/>
      <c r="J12" s="61"/>
      <c r="K12" s="61"/>
      <c r="L12" s="61"/>
      <c r="O12" s="123" t="s">
        <v>81</v>
      </c>
      <c r="P12" s="122" t="s">
        <v>108</v>
      </c>
      <c r="Q12" s="126">
        <v>0.43</v>
      </c>
      <c r="R12" s="121" t="s">
        <v>109</v>
      </c>
    </row>
    <row r="13" spans="1:18" s="56" customFormat="1" x14ac:dyDescent="0.25">
      <c r="B13" s="61"/>
      <c r="C13" s="61" t="s">
        <v>17</v>
      </c>
      <c r="D13" s="61"/>
      <c r="E13" s="61"/>
      <c r="F13" s="61"/>
      <c r="G13" s="61"/>
      <c r="H13" s="60"/>
      <c r="I13" s="61"/>
      <c r="J13" s="61"/>
      <c r="K13" s="61"/>
      <c r="L13" s="61"/>
      <c r="O13" s="123"/>
      <c r="P13" s="123"/>
      <c r="Q13" s="126"/>
      <c r="R13" s="82"/>
    </row>
    <row r="14" spans="1:18" s="56" customFormat="1" x14ac:dyDescent="0.25">
      <c r="B14" s="61"/>
      <c r="C14" s="61"/>
      <c r="D14" s="61"/>
      <c r="E14" s="61"/>
      <c r="F14" s="61"/>
      <c r="G14" s="61"/>
      <c r="H14" s="60"/>
      <c r="I14" s="61"/>
      <c r="J14" s="61"/>
      <c r="K14" s="61"/>
      <c r="L14" s="61"/>
      <c r="M14" s="62"/>
      <c r="O14" s="123"/>
      <c r="P14" s="123"/>
      <c r="Q14" s="126"/>
      <c r="R14" s="82"/>
    </row>
    <row r="15" spans="1:18" x14ac:dyDescent="0.25">
      <c r="B15" s="63" t="s">
        <v>35</v>
      </c>
      <c r="C15" s="64"/>
      <c r="D15" s="65"/>
      <c r="E15" s="66"/>
      <c r="F15" s="65"/>
      <c r="G15" s="66"/>
      <c r="H15" s="67"/>
      <c r="I15" s="66"/>
      <c r="J15" s="66"/>
      <c r="K15" s="91"/>
      <c r="L15" s="91"/>
      <c r="M15" s="49"/>
      <c r="O15" s="123" t="s">
        <v>57</v>
      </c>
      <c r="P15" s="128" t="s">
        <v>58</v>
      </c>
      <c r="Q15" s="87">
        <v>0.4</v>
      </c>
    </row>
    <row r="16" spans="1:18" x14ac:dyDescent="0.25">
      <c r="B16" s="52"/>
      <c r="C16" s="69" t="s">
        <v>36</v>
      </c>
      <c r="D16" s="53"/>
      <c r="E16" s="52"/>
      <c r="F16" s="53"/>
      <c r="G16" s="52"/>
      <c r="H16" s="54"/>
      <c r="I16" s="70"/>
      <c r="J16" s="70"/>
      <c r="K16" s="89"/>
      <c r="M16" s="49"/>
      <c r="O16" s="123" t="s">
        <v>61</v>
      </c>
      <c r="P16" s="128" t="s">
        <v>62</v>
      </c>
      <c r="Q16" s="87">
        <v>0.4</v>
      </c>
    </row>
    <row r="17" spans="2:17" x14ac:dyDescent="0.25">
      <c r="B17" s="52"/>
      <c r="C17" s="41" t="s">
        <v>33</v>
      </c>
      <c r="D17" s="53"/>
      <c r="E17" s="52"/>
      <c r="F17" s="53"/>
      <c r="G17" s="52"/>
      <c r="H17" s="54"/>
      <c r="I17" s="70"/>
      <c r="J17" s="70"/>
      <c r="K17" s="89"/>
      <c r="M17" s="49"/>
    </row>
    <row r="18" spans="2:17" x14ac:dyDescent="0.25">
      <c r="B18" s="52"/>
      <c r="C18" s="41" t="s">
        <v>34</v>
      </c>
      <c r="D18" s="53"/>
      <c r="E18" s="52"/>
      <c r="F18" s="53"/>
      <c r="G18" s="52"/>
      <c r="H18" s="54"/>
      <c r="I18" s="70"/>
      <c r="J18" s="70"/>
      <c r="K18" s="89"/>
      <c r="M18" s="49"/>
    </row>
    <row r="19" spans="2:17" x14ac:dyDescent="0.25">
      <c r="B19" s="52"/>
      <c r="D19" s="53"/>
      <c r="E19" s="52"/>
      <c r="F19" s="53"/>
      <c r="G19" s="52"/>
      <c r="H19" s="54"/>
      <c r="I19" s="70"/>
      <c r="J19" s="70"/>
      <c r="K19" s="89"/>
      <c r="M19" s="49"/>
    </row>
    <row r="20" spans="2:17" x14ac:dyDescent="0.25">
      <c r="B20" s="71" t="s">
        <v>21</v>
      </c>
      <c r="C20" s="91"/>
      <c r="D20" s="91"/>
      <c r="E20" s="91"/>
      <c r="F20" s="91"/>
      <c r="G20" s="91"/>
      <c r="H20" s="91"/>
      <c r="I20" s="91"/>
      <c r="J20" s="91"/>
      <c r="K20" s="91"/>
      <c r="L20" s="91"/>
      <c r="M20" s="49"/>
    </row>
    <row r="21" spans="2:17" x14ac:dyDescent="0.25">
      <c r="B21" s="72" t="s">
        <v>22</v>
      </c>
      <c r="M21" s="49"/>
    </row>
    <row r="22" spans="2:17" x14ac:dyDescent="0.25">
      <c r="O22" s="83" t="s">
        <v>75</v>
      </c>
      <c r="Q22" s="87" t="s">
        <v>76</v>
      </c>
    </row>
    <row r="23" spans="2:17" x14ac:dyDescent="0.25">
      <c r="C23" s="73">
        <f>ROUND('October 2021'!C23*July2022IncrPerc,3)</f>
        <v>0.318</v>
      </c>
      <c r="D23" s="72" t="s">
        <v>23</v>
      </c>
      <c r="F23" s="72"/>
      <c r="J23" s="73"/>
      <c r="O23" s="83" t="s">
        <v>63</v>
      </c>
      <c r="Q23" s="127">
        <f>C23</f>
        <v>0.318</v>
      </c>
    </row>
    <row r="24" spans="2:17" x14ac:dyDescent="0.25">
      <c r="C24" s="73">
        <f>ROUND('October 2021'!C24*July2022IncrPerc,3)</f>
        <v>0.41</v>
      </c>
      <c r="D24" s="72" t="s">
        <v>24</v>
      </c>
      <c r="F24" s="72"/>
      <c r="J24" s="73"/>
      <c r="O24" s="83" t="s">
        <v>64</v>
      </c>
      <c r="Q24" s="127">
        <f t="shared" ref="Q24:Q26" si="0">C24</f>
        <v>0.41</v>
      </c>
    </row>
    <row r="25" spans="2:17" x14ac:dyDescent="0.25">
      <c r="C25" s="73">
        <f>ROUND('October 2021'!C25*July2022IncrPerc,3)</f>
        <v>0.48199999999999998</v>
      </c>
      <c r="D25" s="72" t="s">
        <v>25</v>
      </c>
      <c r="F25" s="72"/>
      <c r="J25" s="73"/>
      <c r="O25" s="83" t="s">
        <v>65</v>
      </c>
      <c r="Q25" s="127">
        <f t="shared" si="0"/>
        <v>0.48199999999999998</v>
      </c>
    </row>
    <row r="26" spans="2:17" x14ac:dyDescent="0.25">
      <c r="C26" s="73">
        <f>ROUND('October 2021'!C26*July2022IncrPerc,3)</f>
        <v>0.59499999999999997</v>
      </c>
      <c r="D26" s="72" t="s">
        <v>26</v>
      </c>
      <c r="F26" s="72"/>
      <c r="J26" s="73"/>
      <c r="O26" s="83" t="s">
        <v>66</v>
      </c>
      <c r="Q26" s="127">
        <f t="shared" si="0"/>
        <v>0.59499999999999997</v>
      </c>
    </row>
    <row r="28" spans="2:17" x14ac:dyDescent="0.25">
      <c r="B28" s="92" t="s">
        <v>67</v>
      </c>
    </row>
    <row r="29" spans="2:17" x14ac:dyDescent="0.25">
      <c r="B29" s="41" t="s">
        <v>38</v>
      </c>
    </row>
    <row r="32" spans="2:17" ht="12.75" x14ac:dyDescent="0.2">
      <c r="B32" s="93"/>
      <c r="C32" s="61"/>
    </row>
    <row r="33" spans="2:3" ht="12.75" x14ac:dyDescent="0.2">
      <c r="B33" s="61"/>
    </row>
    <row r="34" spans="2:3" ht="12.75" x14ac:dyDescent="0.2">
      <c r="B34" s="93"/>
      <c r="C34" s="61"/>
    </row>
  </sheetData>
  <pageMargins left="0.7" right="0.7" top="0.75" bottom="0.75" header="0.3" footer="0.3"/>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09089-AAEE-458A-9D97-D2D88D5F95C7}">
  <dimension ref="A1:R34"/>
  <sheetViews>
    <sheetView showGridLines="0" workbookViewId="0">
      <selection activeCell="J26" sqref="J26"/>
    </sheetView>
  </sheetViews>
  <sheetFormatPr defaultColWidth="9.109375" defaultRowHeight="13.2" x14ac:dyDescent="0.25"/>
  <cols>
    <col min="1" max="1" width="2.5546875" style="38" customWidth="1"/>
    <col min="2" max="2" width="8.44140625" style="41" customWidth="1"/>
    <col min="3" max="3" width="9.5546875" style="41" customWidth="1"/>
    <col min="4" max="4" width="6.33203125" style="41" customWidth="1"/>
    <col min="5" max="5" width="9" style="41" bestFit="1" customWidth="1"/>
    <col min="6" max="6" width="4.6640625" style="41" hidden="1" customWidth="1"/>
    <col min="7" max="7" width="7.5546875" style="41" customWidth="1"/>
    <col min="8" max="8" width="8.44140625" style="41" customWidth="1"/>
    <col min="9" max="9" width="7.5546875" style="41" bestFit="1" customWidth="1"/>
    <col min="10" max="10" width="10.5546875" style="41" customWidth="1"/>
    <col min="11" max="11" width="6.6640625" style="41" bestFit="1" customWidth="1"/>
    <col min="12" max="12" width="14.33203125" style="41" customWidth="1"/>
    <col min="13" max="13" width="5.109375" style="38" customWidth="1"/>
    <col min="14" max="14" width="9.109375" style="38"/>
    <col min="15" max="15" width="15.88671875" style="83" bestFit="1" customWidth="1"/>
    <col min="16" max="16" width="26.88671875" style="83" bestFit="1" customWidth="1"/>
    <col min="17" max="17" width="7.5546875" style="87" bestFit="1" customWidth="1"/>
    <col min="18" max="18" width="15" style="80" bestFit="1" customWidth="1"/>
    <col min="19" max="16384" width="9.109375" style="38"/>
  </cols>
  <sheetData>
    <row r="1" spans="1:18" x14ac:dyDescent="0.25">
      <c r="A1" s="37" t="s">
        <v>31</v>
      </c>
      <c r="O1" s="83" t="s">
        <v>98</v>
      </c>
      <c r="P1" s="124">
        <v>1.0249999999999999</v>
      </c>
    </row>
    <row r="2" spans="1:18" x14ac:dyDescent="0.25">
      <c r="A2" s="37" t="s">
        <v>30</v>
      </c>
    </row>
    <row r="3" spans="1:18" s="41" customFormat="1" x14ac:dyDescent="0.25">
      <c r="A3" s="40" t="s">
        <v>0</v>
      </c>
      <c r="D3" s="42"/>
      <c r="E3" s="42"/>
      <c r="F3" s="42"/>
      <c r="G3" s="43"/>
      <c r="H3" s="43"/>
      <c r="I3" s="43"/>
      <c r="J3" s="43"/>
      <c r="K3" s="43"/>
      <c r="L3" s="43"/>
      <c r="M3" s="43"/>
      <c r="O3" s="125"/>
      <c r="P3" s="125"/>
      <c r="Q3" s="87"/>
      <c r="R3" s="81"/>
    </row>
    <row r="4" spans="1:18" s="41" customFormat="1" x14ac:dyDescent="0.25">
      <c r="A4" s="37" t="s">
        <v>111</v>
      </c>
      <c r="D4" s="119"/>
      <c r="E4" s="42"/>
      <c r="F4" s="42"/>
      <c r="G4" s="43"/>
      <c r="H4" s="43"/>
      <c r="I4" s="43"/>
      <c r="O4" s="125"/>
      <c r="P4" s="125"/>
      <c r="Q4" s="87"/>
      <c r="R4" s="81"/>
    </row>
    <row r="5" spans="1:18" x14ac:dyDescent="0.25">
      <c r="A5" s="37"/>
    </row>
    <row r="7" spans="1:18" x14ac:dyDescent="0.25">
      <c r="C7" s="40"/>
      <c r="D7" s="44"/>
      <c r="E7" s="42"/>
      <c r="F7" s="44"/>
      <c r="G7" s="42"/>
      <c r="H7" s="45"/>
      <c r="I7" s="45"/>
      <c r="J7" s="45"/>
      <c r="K7" s="45"/>
    </row>
    <row r="8" spans="1:18" ht="27" thickBot="1" x14ac:dyDescent="0.3">
      <c r="B8" s="46" t="s">
        <v>3</v>
      </c>
      <c r="C8" s="46" t="s">
        <v>4</v>
      </c>
      <c r="D8" s="46" t="s">
        <v>5</v>
      </c>
      <c r="E8" s="47" t="s">
        <v>32</v>
      </c>
      <c r="F8" s="46" t="s">
        <v>7</v>
      </c>
      <c r="G8" s="46" t="s">
        <v>45</v>
      </c>
      <c r="H8" s="46" t="s">
        <v>46</v>
      </c>
      <c r="I8" s="46" t="s">
        <v>10</v>
      </c>
      <c r="J8" s="48"/>
      <c r="K8" s="48"/>
      <c r="L8" s="89"/>
      <c r="O8" s="83" t="s">
        <v>3</v>
      </c>
      <c r="P8" s="83" t="s">
        <v>59</v>
      </c>
      <c r="Q8" s="87" t="s">
        <v>60</v>
      </c>
    </row>
    <row r="9" spans="1:18" x14ac:dyDescent="0.25">
      <c r="B9" s="50" t="s">
        <v>11</v>
      </c>
      <c r="C9" s="90" t="s">
        <v>12</v>
      </c>
      <c r="D9" s="52" t="s">
        <v>13</v>
      </c>
      <c r="E9" s="53" t="s">
        <v>29</v>
      </c>
      <c r="F9" s="52">
        <v>313</v>
      </c>
      <c r="G9" s="50">
        <v>6</v>
      </c>
      <c r="H9" s="52" t="s">
        <v>15</v>
      </c>
      <c r="I9" s="54">
        <f>ROUND(((('July 2022'!I9+0.43))-0.44),3)</f>
        <v>34.784999999999997</v>
      </c>
      <c r="O9" s="83" t="str">
        <f>B9</f>
        <v>06460C</v>
      </c>
      <c r="P9" s="84" t="str">
        <f>C9</f>
        <v>01</v>
      </c>
      <c r="Q9" s="85">
        <f>I9</f>
        <v>34.784999999999997</v>
      </c>
    </row>
    <row r="10" spans="1:18" s="56" customFormat="1" x14ac:dyDescent="0.25">
      <c r="B10" s="61"/>
      <c r="C10" s="61"/>
      <c r="D10" s="61"/>
      <c r="E10" s="61"/>
      <c r="F10" s="61"/>
      <c r="G10" s="61"/>
      <c r="H10" s="57"/>
      <c r="I10" s="61"/>
      <c r="J10" s="61"/>
      <c r="K10" s="61"/>
      <c r="L10" s="61"/>
      <c r="O10" s="123"/>
      <c r="P10" s="123"/>
      <c r="Q10" s="126"/>
      <c r="R10" s="82"/>
    </row>
    <row r="11" spans="1:18" s="56" customFormat="1" x14ac:dyDescent="0.25">
      <c r="B11" s="61"/>
      <c r="C11" s="61"/>
      <c r="D11" s="61"/>
      <c r="E11" s="61"/>
      <c r="F11" s="61"/>
      <c r="G11" s="61"/>
      <c r="H11" s="58"/>
      <c r="I11" s="61"/>
      <c r="J11" s="61"/>
      <c r="K11" s="61"/>
      <c r="L11" s="61"/>
      <c r="O11" s="123"/>
      <c r="P11" s="123"/>
      <c r="Q11" s="126"/>
      <c r="R11" s="82"/>
    </row>
    <row r="12" spans="1:18" s="56" customFormat="1" x14ac:dyDescent="0.25">
      <c r="B12" s="59" t="s">
        <v>114</v>
      </c>
      <c r="C12" s="61"/>
      <c r="D12" s="61"/>
      <c r="E12" s="61"/>
      <c r="F12" s="61"/>
      <c r="G12" s="61"/>
      <c r="H12" s="60"/>
      <c r="I12" s="61"/>
      <c r="J12" s="61"/>
      <c r="K12" s="61"/>
      <c r="L12" s="61"/>
      <c r="O12" s="123" t="s">
        <v>81</v>
      </c>
      <c r="P12" s="122" t="s">
        <v>108</v>
      </c>
      <c r="Q12" s="126">
        <v>0.44</v>
      </c>
      <c r="R12" s="121" t="s">
        <v>109</v>
      </c>
    </row>
    <row r="13" spans="1:18" s="56" customFormat="1" x14ac:dyDescent="0.25">
      <c r="B13" s="61"/>
      <c r="C13" s="61" t="s">
        <v>17</v>
      </c>
      <c r="D13" s="61"/>
      <c r="E13" s="61"/>
      <c r="F13" s="61"/>
      <c r="G13" s="61"/>
      <c r="H13" s="60"/>
      <c r="I13" s="61"/>
      <c r="J13" s="61"/>
      <c r="K13" s="61"/>
      <c r="L13" s="61"/>
      <c r="O13" s="123"/>
      <c r="P13" s="123"/>
      <c r="Q13" s="126"/>
      <c r="R13" s="82"/>
    </row>
    <row r="14" spans="1:18" s="56" customFormat="1" x14ac:dyDescent="0.25">
      <c r="B14" s="61"/>
      <c r="C14" s="61"/>
      <c r="D14" s="61"/>
      <c r="E14" s="61"/>
      <c r="F14" s="61"/>
      <c r="G14" s="61"/>
      <c r="H14" s="60"/>
      <c r="I14" s="61"/>
      <c r="J14" s="61"/>
      <c r="K14" s="61"/>
      <c r="L14" s="61"/>
      <c r="M14" s="62"/>
      <c r="O14" s="123"/>
      <c r="P14" s="123"/>
      <c r="Q14" s="126"/>
      <c r="R14" s="82"/>
    </row>
    <row r="15" spans="1:18" x14ac:dyDescent="0.25">
      <c r="B15" s="63" t="s">
        <v>35</v>
      </c>
      <c r="C15" s="64"/>
      <c r="D15" s="65"/>
      <c r="E15" s="66"/>
      <c r="F15" s="65"/>
      <c r="G15" s="66"/>
      <c r="H15" s="67"/>
      <c r="I15" s="66"/>
      <c r="J15" s="66"/>
      <c r="K15" s="91"/>
      <c r="L15" s="91"/>
      <c r="M15" s="49"/>
      <c r="O15" s="123" t="s">
        <v>57</v>
      </c>
      <c r="P15" s="128" t="s">
        <v>58</v>
      </c>
      <c r="Q15" s="87">
        <v>0.4</v>
      </c>
    </row>
    <row r="16" spans="1:18" x14ac:dyDescent="0.25">
      <c r="B16" s="52"/>
      <c r="C16" s="69" t="s">
        <v>36</v>
      </c>
      <c r="D16" s="53"/>
      <c r="E16" s="52"/>
      <c r="F16" s="53"/>
      <c r="G16" s="52"/>
      <c r="H16" s="54"/>
      <c r="I16" s="70"/>
      <c r="J16" s="70"/>
      <c r="K16" s="89"/>
      <c r="M16" s="49"/>
      <c r="O16" s="123" t="s">
        <v>61</v>
      </c>
      <c r="P16" s="128" t="s">
        <v>62</v>
      </c>
      <c r="Q16" s="87">
        <v>0.4</v>
      </c>
    </row>
    <row r="17" spans="2:17" x14ac:dyDescent="0.25">
      <c r="B17" s="52"/>
      <c r="C17" s="41" t="s">
        <v>33</v>
      </c>
      <c r="D17" s="53"/>
      <c r="E17" s="52"/>
      <c r="F17" s="53"/>
      <c r="G17" s="52"/>
      <c r="H17" s="54"/>
      <c r="I17" s="70"/>
      <c r="J17" s="70"/>
      <c r="K17" s="89"/>
      <c r="M17" s="49"/>
    </row>
    <row r="18" spans="2:17" x14ac:dyDescent="0.25">
      <c r="B18" s="52"/>
      <c r="C18" s="41" t="s">
        <v>34</v>
      </c>
      <c r="D18" s="53"/>
      <c r="E18" s="52"/>
      <c r="F18" s="53"/>
      <c r="G18" s="52"/>
      <c r="H18" s="54"/>
      <c r="I18" s="70"/>
      <c r="J18" s="70"/>
      <c r="K18" s="89"/>
      <c r="M18" s="49"/>
    </row>
    <row r="19" spans="2:17" x14ac:dyDescent="0.25">
      <c r="B19" s="52"/>
      <c r="D19" s="53"/>
      <c r="E19" s="52"/>
      <c r="F19" s="53"/>
      <c r="G19" s="52"/>
      <c r="H19" s="54"/>
      <c r="I19" s="70"/>
      <c r="J19" s="70"/>
      <c r="K19" s="89"/>
      <c r="M19" s="49"/>
    </row>
    <row r="20" spans="2:17" x14ac:dyDescent="0.25">
      <c r="B20" s="71" t="s">
        <v>21</v>
      </c>
      <c r="C20" s="91"/>
      <c r="D20" s="91"/>
      <c r="E20" s="91"/>
      <c r="F20" s="91"/>
      <c r="G20" s="91"/>
      <c r="H20" s="91"/>
      <c r="I20" s="91"/>
      <c r="J20" s="91"/>
      <c r="K20" s="91"/>
      <c r="L20" s="91"/>
      <c r="M20" s="49"/>
    </row>
    <row r="21" spans="2:17" x14ac:dyDescent="0.25">
      <c r="B21" s="72" t="s">
        <v>22</v>
      </c>
      <c r="M21" s="49"/>
    </row>
    <row r="22" spans="2:17" x14ac:dyDescent="0.25">
      <c r="O22" s="83" t="s">
        <v>75</v>
      </c>
      <c r="Q22" s="87" t="s">
        <v>76</v>
      </c>
    </row>
    <row r="23" spans="2:17" x14ac:dyDescent="0.25">
      <c r="C23" s="73">
        <f>ROUND('October 2021'!C23*July2022IncrPerc,3)</f>
        <v>0.318</v>
      </c>
      <c r="D23" s="72" t="s">
        <v>23</v>
      </c>
      <c r="F23" s="72"/>
      <c r="J23" s="73"/>
      <c r="O23" s="83" t="s">
        <v>63</v>
      </c>
      <c r="Q23" s="127">
        <f>C23</f>
        <v>0.318</v>
      </c>
    </row>
    <row r="24" spans="2:17" x14ac:dyDescent="0.25">
      <c r="C24" s="73">
        <f>ROUND('October 2021'!C24*July2022IncrPerc,3)</f>
        <v>0.41</v>
      </c>
      <c r="D24" s="72" t="s">
        <v>24</v>
      </c>
      <c r="F24" s="72"/>
      <c r="J24" s="73"/>
      <c r="O24" s="83" t="s">
        <v>64</v>
      </c>
      <c r="Q24" s="127">
        <f t="shared" ref="Q24:Q26" si="0">C24</f>
        <v>0.41</v>
      </c>
    </row>
    <row r="25" spans="2:17" x14ac:dyDescent="0.25">
      <c r="C25" s="73">
        <f>ROUND('October 2021'!C25*July2022IncrPerc,3)</f>
        <v>0.48199999999999998</v>
      </c>
      <c r="D25" s="72" t="s">
        <v>25</v>
      </c>
      <c r="F25" s="72"/>
      <c r="J25" s="73"/>
      <c r="O25" s="83" t="s">
        <v>65</v>
      </c>
      <c r="Q25" s="127">
        <f t="shared" si="0"/>
        <v>0.48199999999999998</v>
      </c>
    </row>
    <row r="26" spans="2:17" x14ac:dyDescent="0.25">
      <c r="C26" s="73">
        <f>ROUND('October 2021'!C26*July2022IncrPerc,3)</f>
        <v>0.59499999999999997</v>
      </c>
      <c r="D26" s="72" t="s">
        <v>26</v>
      </c>
      <c r="F26" s="72"/>
      <c r="J26" s="73"/>
      <c r="O26" s="83" t="s">
        <v>66</v>
      </c>
      <c r="Q26" s="127">
        <f t="shared" si="0"/>
        <v>0.59499999999999997</v>
      </c>
    </row>
    <row r="28" spans="2:17" x14ac:dyDescent="0.25">
      <c r="B28" s="92" t="s">
        <v>67</v>
      </c>
    </row>
    <row r="29" spans="2:17" x14ac:dyDescent="0.25">
      <c r="B29" s="41" t="s">
        <v>38</v>
      </c>
    </row>
    <row r="32" spans="2:17" ht="12.75" x14ac:dyDescent="0.2">
      <c r="B32" s="93"/>
      <c r="C32" s="61"/>
    </row>
    <row r="33" spans="2:3" ht="12.75" x14ac:dyDescent="0.2">
      <c r="B33" s="61"/>
    </row>
    <row r="34" spans="2:3" ht="12.75" x14ac:dyDescent="0.2">
      <c r="B34" s="93"/>
      <c r="C34" s="61"/>
    </row>
  </sheetData>
  <pageMargins left="0.7" right="0.7" top="0.75" bottom="0.75" header="0.3" footer="0.3"/>
  <pageSetup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0A8E4-733A-47DA-913E-6368AA8C2A6F}">
  <dimension ref="A1:R34"/>
  <sheetViews>
    <sheetView showGridLines="0" workbookViewId="0">
      <selection activeCell="J26" sqref="J26"/>
    </sheetView>
  </sheetViews>
  <sheetFormatPr defaultColWidth="9.109375" defaultRowHeight="13.2" x14ac:dyDescent="0.25"/>
  <cols>
    <col min="1" max="1" width="2.5546875" style="38" customWidth="1"/>
    <col min="2" max="2" width="8.44140625" style="41" customWidth="1"/>
    <col min="3" max="3" width="9.5546875" style="41" customWidth="1"/>
    <col min="4" max="4" width="6.33203125" style="41" customWidth="1"/>
    <col min="5" max="5" width="9" style="41" bestFit="1" customWidth="1"/>
    <col min="6" max="6" width="4.6640625" style="41" hidden="1" customWidth="1"/>
    <col min="7" max="7" width="7.5546875" style="41" customWidth="1"/>
    <col min="8" max="8" width="8.44140625" style="41" customWidth="1"/>
    <col min="9" max="9" width="7.5546875" style="41" bestFit="1" customWidth="1"/>
    <col min="10" max="10" width="10.5546875" style="41" customWidth="1"/>
    <col min="11" max="11" width="6.6640625" style="41" bestFit="1" customWidth="1"/>
    <col min="12" max="12" width="14.33203125" style="41" customWidth="1"/>
    <col min="13" max="13" width="5.109375" style="38" customWidth="1"/>
    <col min="14" max="14" width="9.109375" style="38"/>
    <col min="15" max="15" width="15.88671875" style="83" bestFit="1" customWidth="1"/>
    <col min="16" max="16" width="26.88671875" style="83" bestFit="1" customWidth="1"/>
    <col min="17" max="17" width="7.5546875" style="87" bestFit="1" customWidth="1"/>
    <col min="18" max="18" width="15" style="80" bestFit="1" customWidth="1"/>
    <col min="19" max="16384" width="9.109375" style="38"/>
  </cols>
  <sheetData>
    <row r="1" spans="1:18" x14ac:dyDescent="0.25">
      <c r="A1" s="37" t="s">
        <v>31</v>
      </c>
      <c r="O1" s="83" t="s">
        <v>103</v>
      </c>
      <c r="P1" s="124">
        <v>1.0249999999999999</v>
      </c>
    </row>
    <row r="2" spans="1:18" x14ac:dyDescent="0.25">
      <c r="A2" s="37" t="s">
        <v>30</v>
      </c>
    </row>
    <row r="3" spans="1:18" s="41" customFormat="1" x14ac:dyDescent="0.25">
      <c r="A3" s="40" t="s">
        <v>0</v>
      </c>
      <c r="D3" s="42"/>
      <c r="E3" s="42"/>
      <c r="F3" s="42"/>
      <c r="G3" s="43"/>
      <c r="H3" s="43"/>
      <c r="I3" s="43"/>
      <c r="J3" s="43"/>
      <c r="K3" s="43"/>
      <c r="L3" s="43"/>
      <c r="M3" s="43"/>
      <c r="O3" s="125"/>
      <c r="P3" s="125"/>
      <c r="Q3" s="87"/>
      <c r="R3" s="81"/>
    </row>
    <row r="4" spans="1:18" s="41" customFormat="1" x14ac:dyDescent="0.25">
      <c r="A4" s="40" t="s">
        <v>102</v>
      </c>
      <c r="D4" s="119" t="s">
        <v>100</v>
      </c>
      <c r="E4" s="42"/>
      <c r="F4" s="42"/>
      <c r="G4" s="43"/>
      <c r="H4" s="43"/>
      <c r="I4" s="43"/>
      <c r="O4" s="125"/>
      <c r="P4" s="125"/>
      <c r="Q4" s="87"/>
      <c r="R4" s="81"/>
    </row>
    <row r="5" spans="1:18" x14ac:dyDescent="0.25">
      <c r="A5" s="37"/>
    </row>
    <row r="6" spans="1:18" x14ac:dyDescent="0.25">
      <c r="A6" s="37" t="s">
        <v>110</v>
      </c>
    </row>
    <row r="7" spans="1:18" x14ac:dyDescent="0.25">
      <c r="C7" s="40"/>
      <c r="D7" s="44"/>
      <c r="E7" s="42"/>
      <c r="F7" s="44"/>
      <c r="G7" s="42"/>
      <c r="H7" s="45"/>
      <c r="I7" s="45"/>
      <c r="J7" s="45"/>
      <c r="K7" s="45"/>
    </row>
    <row r="8" spans="1:18" ht="27" thickBot="1" x14ac:dyDescent="0.3">
      <c r="B8" s="46" t="s">
        <v>3</v>
      </c>
      <c r="C8" s="46" t="s">
        <v>4</v>
      </c>
      <c r="D8" s="46" t="s">
        <v>5</v>
      </c>
      <c r="E8" s="47" t="s">
        <v>32</v>
      </c>
      <c r="F8" s="46" t="s">
        <v>7</v>
      </c>
      <c r="G8" s="46" t="s">
        <v>45</v>
      </c>
      <c r="H8" s="46" t="s">
        <v>46</v>
      </c>
      <c r="I8" s="46" t="s">
        <v>10</v>
      </c>
      <c r="J8" s="48"/>
      <c r="K8" s="48"/>
      <c r="L8" s="89"/>
      <c r="O8" s="83" t="s">
        <v>3</v>
      </c>
      <c r="P8" s="83" t="s">
        <v>59</v>
      </c>
      <c r="Q8" s="87" t="s">
        <v>60</v>
      </c>
    </row>
    <row r="9" spans="1:18" x14ac:dyDescent="0.25">
      <c r="B9" s="50" t="s">
        <v>11</v>
      </c>
      <c r="C9" s="90" t="s">
        <v>12</v>
      </c>
      <c r="D9" s="52" t="s">
        <v>13</v>
      </c>
      <c r="E9" s="53" t="s">
        <v>29</v>
      </c>
      <c r="F9" s="52">
        <v>313</v>
      </c>
      <c r="G9" s="50">
        <v>6</v>
      </c>
      <c r="H9" s="52" t="s">
        <v>15</v>
      </c>
      <c r="I9" s="54">
        <f>ROUND(((('October 2022'!I9+0.43)*July2023IncrPerc)-0.44),3)</f>
        <v>35.655000000000001</v>
      </c>
      <c r="O9" s="83" t="str">
        <f>B9</f>
        <v>06460C</v>
      </c>
      <c r="P9" s="84" t="str">
        <f>C9</f>
        <v>01</v>
      </c>
      <c r="Q9" s="85">
        <f>I9</f>
        <v>35.655000000000001</v>
      </c>
    </row>
    <row r="10" spans="1:18" s="56" customFormat="1" x14ac:dyDescent="0.25">
      <c r="B10" s="61"/>
      <c r="C10" s="61"/>
      <c r="D10" s="61"/>
      <c r="E10" s="61"/>
      <c r="F10" s="61"/>
      <c r="G10" s="61"/>
      <c r="H10" s="57"/>
      <c r="I10" s="61"/>
      <c r="J10" s="61"/>
      <c r="K10" s="61"/>
      <c r="L10" s="61"/>
      <c r="O10" s="123"/>
      <c r="P10" s="123"/>
      <c r="Q10" s="126"/>
      <c r="R10" s="82"/>
    </row>
    <row r="11" spans="1:18" s="56" customFormat="1" x14ac:dyDescent="0.25">
      <c r="B11" s="61"/>
      <c r="C11" s="61"/>
      <c r="D11" s="61"/>
      <c r="E11" s="61"/>
      <c r="F11" s="61"/>
      <c r="G11" s="61"/>
      <c r="H11" s="58"/>
      <c r="I11" s="61"/>
      <c r="J11" s="61"/>
      <c r="K11" s="61"/>
      <c r="L11" s="61"/>
      <c r="O11" s="123"/>
      <c r="P11" s="123"/>
      <c r="Q11" s="126"/>
      <c r="R11" s="82"/>
    </row>
    <row r="12" spans="1:18" s="56" customFormat="1" x14ac:dyDescent="0.25">
      <c r="B12" s="59" t="s">
        <v>114</v>
      </c>
      <c r="C12" s="61"/>
      <c r="D12" s="61"/>
      <c r="E12" s="61"/>
      <c r="F12" s="61"/>
      <c r="G12" s="61"/>
      <c r="H12" s="60"/>
      <c r="I12" s="61"/>
      <c r="J12" s="61"/>
      <c r="K12" s="61"/>
      <c r="L12" s="61"/>
      <c r="O12" s="123" t="s">
        <v>81</v>
      </c>
      <c r="P12" s="122" t="s">
        <v>108</v>
      </c>
      <c r="Q12" s="126">
        <v>0.44</v>
      </c>
      <c r="R12" s="121" t="s">
        <v>109</v>
      </c>
    </row>
    <row r="13" spans="1:18" s="56" customFormat="1" x14ac:dyDescent="0.25">
      <c r="B13" s="61"/>
      <c r="C13" s="61" t="s">
        <v>17</v>
      </c>
      <c r="D13" s="61"/>
      <c r="E13" s="61"/>
      <c r="F13" s="61"/>
      <c r="G13" s="61"/>
      <c r="H13" s="60"/>
      <c r="I13" s="61"/>
      <c r="J13" s="61"/>
      <c r="K13" s="61"/>
      <c r="L13" s="61"/>
      <c r="O13" s="123"/>
      <c r="P13" s="123"/>
      <c r="Q13" s="126"/>
      <c r="R13" s="82"/>
    </row>
    <row r="14" spans="1:18" s="56" customFormat="1" x14ac:dyDescent="0.25">
      <c r="B14" s="61"/>
      <c r="C14" s="61"/>
      <c r="D14" s="61"/>
      <c r="E14" s="61"/>
      <c r="F14" s="61"/>
      <c r="G14" s="61"/>
      <c r="H14" s="60"/>
      <c r="I14" s="61"/>
      <c r="J14" s="61"/>
      <c r="K14" s="61"/>
      <c r="L14" s="61"/>
      <c r="M14" s="62"/>
      <c r="O14" s="123"/>
      <c r="P14" s="123"/>
      <c r="Q14" s="126"/>
      <c r="R14" s="82"/>
    </row>
    <row r="15" spans="1:18" x14ac:dyDescent="0.25">
      <c r="B15" s="63" t="s">
        <v>35</v>
      </c>
      <c r="C15" s="64"/>
      <c r="D15" s="65"/>
      <c r="E15" s="66"/>
      <c r="F15" s="65"/>
      <c r="G15" s="66"/>
      <c r="H15" s="67"/>
      <c r="I15" s="66"/>
      <c r="J15" s="66"/>
      <c r="K15" s="91"/>
      <c r="L15" s="91"/>
      <c r="M15" s="49"/>
      <c r="O15" s="123" t="s">
        <v>57</v>
      </c>
      <c r="P15" s="128" t="s">
        <v>58</v>
      </c>
      <c r="Q15" s="87">
        <v>0.4</v>
      </c>
    </row>
    <row r="16" spans="1:18" x14ac:dyDescent="0.25">
      <c r="B16" s="52"/>
      <c r="C16" s="69" t="s">
        <v>36</v>
      </c>
      <c r="D16" s="53"/>
      <c r="E16" s="52"/>
      <c r="F16" s="53"/>
      <c r="G16" s="52"/>
      <c r="H16" s="54"/>
      <c r="I16" s="70"/>
      <c r="J16" s="70"/>
      <c r="K16" s="89"/>
      <c r="M16" s="49"/>
      <c r="O16" s="123" t="s">
        <v>61</v>
      </c>
      <c r="P16" s="128" t="s">
        <v>62</v>
      </c>
      <c r="Q16" s="87">
        <v>0.4</v>
      </c>
    </row>
    <row r="17" spans="2:17" x14ac:dyDescent="0.25">
      <c r="B17" s="52"/>
      <c r="C17" s="41" t="s">
        <v>33</v>
      </c>
      <c r="D17" s="53"/>
      <c r="E17" s="52"/>
      <c r="F17" s="53"/>
      <c r="G17" s="52"/>
      <c r="H17" s="54"/>
      <c r="I17" s="70"/>
      <c r="J17" s="70"/>
      <c r="K17" s="89"/>
      <c r="M17" s="49"/>
    </row>
    <row r="18" spans="2:17" x14ac:dyDescent="0.25">
      <c r="B18" s="52"/>
      <c r="C18" s="41" t="s">
        <v>34</v>
      </c>
      <c r="D18" s="53"/>
      <c r="E18" s="52"/>
      <c r="F18" s="53"/>
      <c r="G18" s="52"/>
      <c r="H18" s="54"/>
      <c r="I18" s="70"/>
      <c r="J18" s="70"/>
      <c r="K18" s="89"/>
      <c r="M18" s="49"/>
    </row>
    <row r="19" spans="2:17" x14ac:dyDescent="0.25">
      <c r="B19" s="52"/>
      <c r="D19" s="53"/>
      <c r="E19" s="52"/>
      <c r="F19" s="53"/>
      <c r="G19" s="52"/>
      <c r="H19" s="54"/>
      <c r="I19" s="70"/>
      <c r="J19" s="70"/>
      <c r="K19" s="89"/>
      <c r="M19" s="49"/>
    </row>
    <row r="20" spans="2:17" x14ac:dyDescent="0.25">
      <c r="B20" s="71" t="s">
        <v>21</v>
      </c>
      <c r="C20" s="91"/>
      <c r="D20" s="91"/>
      <c r="E20" s="91"/>
      <c r="F20" s="91"/>
      <c r="G20" s="91"/>
      <c r="H20" s="91"/>
      <c r="I20" s="91"/>
      <c r="J20" s="91"/>
      <c r="K20" s="91"/>
      <c r="L20" s="91"/>
      <c r="M20" s="49"/>
    </row>
    <row r="21" spans="2:17" x14ac:dyDescent="0.25">
      <c r="B21" s="72" t="s">
        <v>22</v>
      </c>
      <c r="M21" s="49"/>
    </row>
    <row r="22" spans="2:17" x14ac:dyDescent="0.25">
      <c r="O22" s="83" t="s">
        <v>75</v>
      </c>
      <c r="Q22" s="87" t="s">
        <v>76</v>
      </c>
    </row>
    <row r="23" spans="2:17" x14ac:dyDescent="0.25">
      <c r="C23" s="73">
        <f>ROUND('July 2022'!C23*July2023IncrPerc,3)</f>
        <v>0.32600000000000001</v>
      </c>
      <c r="D23" s="72" t="s">
        <v>23</v>
      </c>
      <c r="F23" s="72"/>
      <c r="J23" s="73"/>
      <c r="O23" s="83" t="s">
        <v>63</v>
      </c>
      <c r="Q23" s="127">
        <f>C23</f>
        <v>0.32600000000000001</v>
      </c>
    </row>
    <row r="24" spans="2:17" x14ac:dyDescent="0.25">
      <c r="C24" s="73">
        <f>ROUND('July 2022'!C24*July2023IncrPerc,3)</f>
        <v>0.42</v>
      </c>
      <c r="D24" s="72" t="s">
        <v>24</v>
      </c>
      <c r="F24" s="72"/>
      <c r="J24" s="73"/>
      <c r="O24" s="83" t="s">
        <v>64</v>
      </c>
      <c r="Q24" s="127">
        <f t="shared" ref="Q24:Q26" si="0">C24</f>
        <v>0.42</v>
      </c>
    </row>
    <row r="25" spans="2:17" x14ac:dyDescent="0.25">
      <c r="C25" s="73">
        <f>ROUND('July 2022'!C25*July2023IncrPerc,3)</f>
        <v>0.49399999999999999</v>
      </c>
      <c r="D25" s="72" t="s">
        <v>25</v>
      </c>
      <c r="F25" s="72"/>
      <c r="J25" s="73"/>
      <c r="O25" s="83" t="s">
        <v>65</v>
      </c>
      <c r="Q25" s="127">
        <f t="shared" si="0"/>
        <v>0.49399999999999999</v>
      </c>
    </row>
    <row r="26" spans="2:17" x14ac:dyDescent="0.25">
      <c r="C26" s="73">
        <f>ROUND('July 2022'!C26*July2023IncrPerc,3)</f>
        <v>0.61</v>
      </c>
      <c r="D26" s="72" t="s">
        <v>26</v>
      </c>
      <c r="F26" s="72"/>
      <c r="J26" s="73"/>
      <c r="O26" s="83" t="s">
        <v>66</v>
      </c>
      <c r="Q26" s="127">
        <f t="shared" si="0"/>
        <v>0.61</v>
      </c>
    </row>
    <row r="28" spans="2:17" x14ac:dyDescent="0.25">
      <c r="B28" s="92" t="s">
        <v>67</v>
      </c>
    </row>
    <row r="29" spans="2:17" x14ac:dyDescent="0.25">
      <c r="B29" s="41" t="s">
        <v>38</v>
      </c>
    </row>
    <row r="32" spans="2:17" ht="12.75" x14ac:dyDescent="0.2">
      <c r="B32" s="93"/>
      <c r="C32" s="61"/>
    </row>
    <row r="33" spans="2:3" ht="12.75" x14ac:dyDescent="0.2">
      <c r="B33" s="61"/>
    </row>
    <row r="34" spans="2:3" ht="12.75" x14ac:dyDescent="0.2">
      <c r="B34" s="93"/>
      <c r="C34" s="61"/>
    </row>
  </sheetData>
  <pageMargins left="0.7" right="0.7" top="0.75" bottom="0.75" header="0.3" footer="0.3"/>
  <pageSetup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6C233-796A-4FBA-B413-3A0A2AC07D5C}">
  <dimension ref="A1:R34"/>
  <sheetViews>
    <sheetView showGridLines="0" workbookViewId="0">
      <selection activeCell="Q12" sqref="Q12"/>
    </sheetView>
  </sheetViews>
  <sheetFormatPr defaultColWidth="9.109375" defaultRowHeight="13.2" x14ac:dyDescent="0.25"/>
  <cols>
    <col min="1" max="1" width="2.5546875" style="38" customWidth="1"/>
    <col min="2" max="2" width="8.44140625" style="41" customWidth="1"/>
    <col min="3" max="3" width="9.5546875" style="41" customWidth="1"/>
    <col min="4" max="4" width="6.33203125" style="41" customWidth="1"/>
    <col min="5" max="5" width="9" style="41" bestFit="1" customWidth="1"/>
    <col min="6" max="6" width="4.6640625" style="41" hidden="1" customWidth="1"/>
    <col min="7" max="7" width="7.5546875" style="41" customWidth="1"/>
    <col min="8" max="8" width="8.44140625" style="41" customWidth="1"/>
    <col min="9" max="9" width="7.5546875" style="41" bestFit="1" customWidth="1"/>
    <col min="10" max="10" width="10.5546875" style="41" customWidth="1"/>
    <col min="11" max="11" width="6.6640625" style="41" bestFit="1" customWidth="1"/>
    <col min="12" max="12" width="14.33203125" style="41" customWidth="1"/>
    <col min="13" max="13" width="5.109375" style="38" customWidth="1"/>
    <col min="14" max="14" width="9.109375" style="38"/>
    <col min="15" max="15" width="15.88671875" style="83" bestFit="1" customWidth="1"/>
    <col min="16" max="16" width="26.88671875" style="83" bestFit="1" customWidth="1"/>
    <col min="17" max="17" width="7.5546875" style="87" bestFit="1" customWidth="1"/>
    <col min="18" max="18" width="15" style="80" bestFit="1" customWidth="1"/>
    <col min="19" max="16384" width="9.109375" style="38"/>
  </cols>
  <sheetData>
    <row r="1" spans="1:18" x14ac:dyDescent="0.25">
      <c r="A1" s="37" t="s">
        <v>31</v>
      </c>
      <c r="O1" s="83" t="s">
        <v>103</v>
      </c>
      <c r="P1" s="124">
        <v>1.0249999999999999</v>
      </c>
    </row>
    <row r="2" spans="1:18" x14ac:dyDescent="0.25">
      <c r="A2" s="37" t="s">
        <v>30</v>
      </c>
    </row>
    <row r="3" spans="1:18" s="41" customFormat="1" x14ac:dyDescent="0.25">
      <c r="A3" s="40" t="s">
        <v>0</v>
      </c>
      <c r="D3" s="42"/>
      <c r="E3" s="42"/>
      <c r="F3" s="42"/>
      <c r="G3" s="43"/>
      <c r="H3" s="43"/>
      <c r="I3" s="43"/>
      <c r="J3" s="43"/>
      <c r="K3" s="43"/>
      <c r="L3" s="43"/>
      <c r="M3" s="43"/>
      <c r="O3" s="125"/>
      <c r="P3" s="125"/>
      <c r="Q3" s="87"/>
      <c r="R3" s="81"/>
    </row>
    <row r="4" spans="1:18" s="41" customFormat="1" x14ac:dyDescent="0.25">
      <c r="A4" s="37" t="s">
        <v>112</v>
      </c>
      <c r="D4" s="119"/>
      <c r="E4" s="42"/>
      <c r="F4" s="42"/>
      <c r="G4" s="43"/>
      <c r="H4" s="43"/>
      <c r="I4" s="43"/>
      <c r="O4" s="125"/>
      <c r="P4" s="125"/>
      <c r="Q4" s="87"/>
      <c r="R4" s="81"/>
    </row>
    <row r="5" spans="1:18" x14ac:dyDescent="0.25">
      <c r="A5" s="37"/>
    </row>
    <row r="7" spans="1:18" x14ac:dyDescent="0.25">
      <c r="C7" s="40"/>
      <c r="D7" s="44"/>
      <c r="E7" s="42"/>
      <c r="F7" s="44"/>
      <c r="G7" s="42"/>
      <c r="H7" s="45"/>
      <c r="I7" s="45"/>
      <c r="J7" s="45"/>
      <c r="K7" s="45"/>
    </row>
    <row r="8" spans="1:18" ht="27" thickBot="1" x14ac:dyDescent="0.3">
      <c r="B8" s="46" t="s">
        <v>3</v>
      </c>
      <c r="C8" s="46" t="s">
        <v>4</v>
      </c>
      <c r="D8" s="46" t="s">
        <v>5</v>
      </c>
      <c r="E8" s="47" t="s">
        <v>32</v>
      </c>
      <c r="F8" s="46" t="s">
        <v>7</v>
      </c>
      <c r="G8" s="46" t="s">
        <v>45</v>
      </c>
      <c r="H8" s="46" t="s">
        <v>46</v>
      </c>
      <c r="I8" s="46" t="s">
        <v>10</v>
      </c>
      <c r="J8" s="48"/>
      <c r="K8" s="48"/>
      <c r="L8" s="89"/>
      <c r="O8" s="83" t="s">
        <v>3</v>
      </c>
      <c r="P8" s="83" t="s">
        <v>59</v>
      </c>
      <c r="Q8" s="87" t="s">
        <v>60</v>
      </c>
    </row>
    <row r="9" spans="1:18" x14ac:dyDescent="0.25">
      <c r="B9" s="50" t="s">
        <v>11</v>
      </c>
      <c r="C9" s="90" t="s">
        <v>12</v>
      </c>
      <c r="D9" s="52" t="s">
        <v>13</v>
      </c>
      <c r="E9" s="53" t="s">
        <v>29</v>
      </c>
      <c r="F9" s="52">
        <v>313</v>
      </c>
      <c r="G9" s="50">
        <v>6</v>
      </c>
      <c r="H9" s="52" t="s">
        <v>15</v>
      </c>
      <c r="I9" s="54">
        <f>ROUND(((('July 2023'!I9+0.44))-0.45),3)</f>
        <v>35.645000000000003</v>
      </c>
      <c r="O9" s="83" t="str">
        <f>B9</f>
        <v>06460C</v>
      </c>
      <c r="P9" s="84" t="str">
        <f>C9</f>
        <v>01</v>
      </c>
      <c r="Q9" s="85">
        <f>I9</f>
        <v>35.645000000000003</v>
      </c>
    </row>
    <row r="10" spans="1:18" s="56" customFormat="1" x14ac:dyDescent="0.25">
      <c r="B10" s="61"/>
      <c r="C10" s="61"/>
      <c r="D10" s="61"/>
      <c r="E10" s="61"/>
      <c r="F10" s="61"/>
      <c r="G10" s="61"/>
      <c r="H10" s="57"/>
      <c r="I10" s="61"/>
      <c r="J10" s="61"/>
      <c r="K10" s="61"/>
      <c r="L10" s="61"/>
      <c r="O10" s="123"/>
      <c r="P10" s="123"/>
      <c r="Q10" s="126"/>
      <c r="R10" s="82"/>
    </row>
    <row r="11" spans="1:18" s="56" customFormat="1" x14ac:dyDescent="0.25">
      <c r="B11" s="61"/>
      <c r="C11" s="61"/>
      <c r="D11" s="61"/>
      <c r="E11" s="61"/>
      <c r="F11" s="61"/>
      <c r="G11" s="61"/>
      <c r="H11" s="58"/>
      <c r="I11" s="61"/>
      <c r="J11" s="61"/>
      <c r="K11" s="61"/>
      <c r="L11" s="61"/>
      <c r="O11" s="123"/>
      <c r="P11" s="123"/>
      <c r="Q11" s="126"/>
      <c r="R11" s="82"/>
    </row>
    <row r="12" spans="1:18" s="56" customFormat="1" x14ac:dyDescent="0.25">
      <c r="B12" s="59" t="s">
        <v>113</v>
      </c>
      <c r="C12" s="61"/>
      <c r="D12" s="61"/>
      <c r="E12" s="61"/>
      <c r="F12" s="61"/>
      <c r="G12" s="61"/>
      <c r="H12" s="60"/>
      <c r="I12" s="61"/>
      <c r="J12" s="61"/>
      <c r="K12" s="61"/>
      <c r="L12" s="61"/>
      <c r="O12" s="123" t="s">
        <v>81</v>
      </c>
      <c r="P12" s="122" t="s">
        <v>108</v>
      </c>
      <c r="Q12" s="126">
        <v>0.45</v>
      </c>
      <c r="R12" s="121" t="s">
        <v>109</v>
      </c>
    </row>
    <row r="13" spans="1:18" s="56" customFormat="1" x14ac:dyDescent="0.25">
      <c r="B13" s="61"/>
      <c r="C13" s="61" t="s">
        <v>17</v>
      </c>
      <c r="D13" s="61"/>
      <c r="E13" s="61"/>
      <c r="F13" s="61"/>
      <c r="G13" s="61"/>
      <c r="H13" s="60"/>
      <c r="I13" s="61"/>
      <c r="J13" s="61"/>
      <c r="K13" s="61"/>
      <c r="L13" s="61"/>
      <c r="O13" s="123"/>
      <c r="P13" s="123"/>
      <c r="Q13" s="126"/>
      <c r="R13" s="82"/>
    </row>
    <row r="14" spans="1:18" s="56" customFormat="1" x14ac:dyDescent="0.25">
      <c r="B14" s="61"/>
      <c r="C14" s="61"/>
      <c r="D14" s="61"/>
      <c r="E14" s="61"/>
      <c r="F14" s="61"/>
      <c r="G14" s="61"/>
      <c r="H14" s="60"/>
      <c r="I14" s="61"/>
      <c r="J14" s="61"/>
      <c r="K14" s="61"/>
      <c r="L14" s="61"/>
      <c r="M14" s="62"/>
      <c r="O14" s="123"/>
      <c r="P14" s="123"/>
      <c r="Q14" s="126"/>
      <c r="R14" s="82"/>
    </row>
    <row r="15" spans="1:18" x14ac:dyDescent="0.25">
      <c r="B15" s="63" t="s">
        <v>35</v>
      </c>
      <c r="C15" s="64"/>
      <c r="D15" s="65"/>
      <c r="E15" s="66"/>
      <c r="F15" s="65"/>
      <c r="G15" s="66"/>
      <c r="H15" s="67"/>
      <c r="I15" s="66"/>
      <c r="J15" s="66"/>
      <c r="K15" s="91"/>
      <c r="L15" s="91"/>
      <c r="M15" s="49"/>
      <c r="O15" s="123" t="s">
        <v>57</v>
      </c>
      <c r="P15" s="128" t="s">
        <v>58</v>
      </c>
      <c r="Q15" s="87">
        <v>0.4</v>
      </c>
    </row>
    <row r="16" spans="1:18" x14ac:dyDescent="0.25">
      <c r="B16" s="52"/>
      <c r="C16" s="69" t="s">
        <v>36</v>
      </c>
      <c r="D16" s="53"/>
      <c r="E16" s="52"/>
      <c r="F16" s="53"/>
      <c r="G16" s="52"/>
      <c r="H16" s="54"/>
      <c r="I16" s="70"/>
      <c r="J16" s="70"/>
      <c r="K16" s="89"/>
      <c r="M16" s="49"/>
      <c r="O16" s="123" t="s">
        <v>61</v>
      </c>
      <c r="P16" s="128" t="s">
        <v>62</v>
      </c>
      <c r="Q16" s="87">
        <v>0.4</v>
      </c>
    </row>
    <row r="17" spans="2:17" x14ac:dyDescent="0.25">
      <c r="B17" s="52"/>
      <c r="C17" s="41" t="s">
        <v>33</v>
      </c>
      <c r="D17" s="53"/>
      <c r="E17" s="52"/>
      <c r="F17" s="53"/>
      <c r="G17" s="52"/>
      <c r="H17" s="54"/>
      <c r="I17" s="70"/>
      <c r="J17" s="70"/>
      <c r="K17" s="89"/>
      <c r="M17" s="49"/>
    </row>
    <row r="18" spans="2:17" x14ac:dyDescent="0.25">
      <c r="B18" s="52"/>
      <c r="C18" s="41" t="s">
        <v>34</v>
      </c>
      <c r="D18" s="53"/>
      <c r="E18" s="52"/>
      <c r="F18" s="53"/>
      <c r="G18" s="52"/>
      <c r="H18" s="54"/>
      <c r="I18" s="70"/>
      <c r="J18" s="70"/>
      <c r="K18" s="89"/>
      <c r="M18" s="49"/>
    </row>
    <row r="19" spans="2:17" x14ac:dyDescent="0.25">
      <c r="B19" s="52"/>
      <c r="D19" s="53"/>
      <c r="E19" s="52"/>
      <c r="F19" s="53"/>
      <c r="G19" s="52"/>
      <c r="H19" s="54"/>
      <c r="I19" s="70"/>
      <c r="J19" s="70"/>
      <c r="K19" s="89"/>
      <c r="M19" s="49"/>
    </row>
    <row r="20" spans="2:17" x14ac:dyDescent="0.25">
      <c r="B20" s="71" t="s">
        <v>21</v>
      </c>
      <c r="C20" s="91"/>
      <c r="D20" s="91"/>
      <c r="E20" s="91"/>
      <c r="F20" s="91"/>
      <c r="G20" s="91"/>
      <c r="H20" s="91"/>
      <c r="I20" s="91"/>
      <c r="J20" s="91"/>
      <c r="K20" s="91"/>
      <c r="L20" s="91"/>
      <c r="M20" s="49"/>
    </row>
    <row r="21" spans="2:17" x14ac:dyDescent="0.25">
      <c r="B21" s="72" t="s">
        <v>22</v>
      </c>
      <c r="M21" s="49"/>
    </row>
    <row r="22" spans="2:17" x14ac:dyDescent="0.25">
      <c r="O22" s="83" t="s">
        <v>75</v>
      </c>
      <c r="Q22" s="87" t="s">
        <v>76</v>
      </c>
    </row>
    <row r="23" spans="2:17" x14ac:dyDescent="0.25">
      <c r="C23" s="73">
        <f>ROUND('July 2022'!C23*July2023IncrPerc,3)</f>
        <v>0.32600000000000001</v>
      </c>
      <c r="D23" s="72" t="s">
        <v>23</v>
      </c>
      <c r="F23" s="72"/>
      <c r="J23" s="73"/>
      <c r="O23" s="83" t="s">
        <v>63</v>
      </c>
      <c r="Q23" s="127">
        <f>C23</f>
        <v>0.32600000000000001</v>
      </c>
    </row>
    <row r="24" spans="2:17" x14ac:dyDescent="0.25">
      <c r="C24" s="73">
        <f>ROUND('July 2022'!C24*July2023IncrPerc,3)</f>
        <v>0.42</v>
      </c>
      <c r="D24" s="72" t="s">
        <v>24</v>
      </c>
      <c r="F24" s="72"/>
      <c r="J24" s="73"/>
      <c r="O24" s="83" t="s">
        <v>64</v>
      </c>
      <c r="Q24" s="127">
        <f t="shared" ref="Q24:Q26" si="0">C24</f>
        <v>0.42</v>
      </c>
    </row>
    <row r="25" spans="2:17" x14ac:dyDescent="0.25">
      <c r="C25" s="73">
        <f>ROUND('July 2022'!C25*July2023IncrPerc,3)</f>
        <v>0.49399999999999999</v>
      </c>
      <c r="D25" s="72" t="s">
        <v>25</v>
      </c>
      <c r="F25" s="72"/>
      <c r="J25" s="73"/>
      <c r="O25" s="83" t="s">
        <v>65</v>
      </c>
      <c r="Q25" s="127">
        <f t="shared" si="0"/>
        <v>0.49399999999999999</v>
      </c>
    </row>
    <row r="26" spans="2:17" x14ac:dyDescent="0.25">
      <c r="C26" s="73">
        <f>ROUND('July 2022'!C26*July2023IncrPerc,3)</f>
        <v>0.61</v>
      </c>
      <c r="D26" s="72" t="s">
        <v>26</v>
      </c>
      <c r="F26" s="72"/>
      <c r="J26" s="73"/>
      <c r="O26" s="83" t="s">
        <v>66</v>
      </c>
      <c r="Q26" s="127">
        <f t="shared" si="0"/>
        <v>0.61</v>
      </c>
    </row>
    <row r="28" spans="2:17" x14ac:dyDescent="0.25">
      <c r="B28" s="92" t="s">
        <v>67</v>
      </c>
    </row>
    <row r="29" spans="2:17" x14ac:dyDescent="0.25">
      <c r="B29" s="41" t="s">
        <v>38</v>
      </c>
    </row>
    <row r="32" spans="2:17" ht="12.75" x14ac:dyDescent="0.2">
      <c r="B32" s="93"/>
      <c r="C32" s="61"/>
    </row>
    <row r="33" spans="2:3" ht="12.75" x14ac:dyDescent="0.2">
      <c r="B33" s="61"/>
    </row>
    <row r="34" spans="2:3" ht="12.75" x14ac:dyDescent="0.2">
      <c r="B34" s="93"/>
      <c r="C34" s="61"/>
    </row>
  </sheetData>
  <pageMargins left="0.7" right="0.7" top="0.75" bottom="0.75" header="0.3" footer="0.3"/>
  <pageSetup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B4893-D08D-4A65-81C8-CFBA46070D74}">
  <sheetPr>
    <tabColor theme="1"/>
  </sheetPr>
  <dimension ref="A1:AD32"/>
  <sheetViews>
    <sheetView showGridLines="0" workbookViewId="0">
      <selection activeCell="M5" sqref="M5"/>
    </sheetView>
  </sheetViews>
  <sheetFormatPr defaultColWidth="9.109375" defaultRowHeight="13.2" x14ac:dyDescent="0.25"/>
  <cols>
    <col min="1" max="1" width="2.5546875" style="38" customWidth="1"/>
    <col min="2" max="2" width="8.44140625" style="41" customWidth="1"/>
    <col min="3" max="3" width="9.5546875" style="41" customWidth="1"/>
    <col min="4" max="4" width="6.33203125" style="41" customWidth="1"/>
    <col min="5" max="5" width="9" style="41" bestFit="1" customWidth="1"/>
    <col min="6" max="6" width="4.6640625" style="41" hidden="1" customWidth="1"/>
    <col min="7" max="7" width="7.5546875" style="41" customWidth="1"/>
    <col min="8" max="8" width="8.44140625" style="41" customWidth="1"/>
    <col min="9" max="12" width="9.6640625" style="41" customWidth="1"/>
    <col min="13" max="13" width="9.6640625" style="38" customWidth="1"/>
    <col min="14" max="14" width="9.109375" style="38"/>
    <col min="15" max="15" width="15.88671875" style="129" hidden="1" customWidth="1"/>
    <col min="16" max="16" width="6.88671875" style="129" hidden="1" customWidth="1"/>
    <col min="17" max="17" width="14.5546875" style="129" hidden="1" customWidth="1"/>
    <col min="18" max="18" width="7.5546875" style="131" hidden="1" customWidth="1"/>
    <col min="19" max="19" width="15" style="129" hidden="1" customWidth="1"/>
    <col min="20" max="22" width="9.5546875" style="129" hidden="1" customWidth="1"/>
    <col min="23" max="23" width="15" style="132" hidden="1" customWidth="1"/>
    <col min="24" max="30" width="0" style="80" hidden="1" customWidth="1"/>
    <col min="31" max="16384" width="9.109375" style="38"/>
  </cols>
  <sheetData>
    <row r="1" spans="1:30" x14ac:dyDescent="0.25">
      <c r="A1" s="38" t="s">
        <v>150</v>
      </c>
    </row>
    <row r="2" spans="1:30" x14ac:dyDescent="0.25">
      <c r="A2" s="37" t="s">
        <v>31</v>
      </c>
      <c r="O2" s="129" t="s">
        <v>121</v>
      </c>
      <c r="Q2" s="130">
        <f>104.5%*105%</f>
        <v>1.0972500000000001</v>
      </c>
      <c r="S2" s="129" t="s">
        <v>136</v>
      </c>
      <c r="T2" s="130">
        <v>1.0449999999999999</v>
      </c>
    </row>
    <row r="3" spans="1:30" x14ac:dyDescent="0.25">
      <c r="A3" s="37" t="s">
        <v>131</v>
      </c>
      <c r="O3" s="129" t="s">
        <v>119</v>
      </c>
      <c r="Q3" s="129" t="s">
        <v>120</v>
      </c>
    </row>
    <row r="4" spans="1:30" s="41" customFormat="1" x14ac:dyDescent="0.25">
      <c r="A4" s="37" t="s">
        <v>147</v>
      </c>
      <c r="D4" s="42"/>
      <c r="E4" s="42"/>
      <c r="F4" s="42"/>
      <c r="G4" s="43"/>
      <c r="H4" s="43"/>
      <c r="I4" s="43"/>
      <c r="J4" s="43"/>
      <c r="K4" s="43"/>
      <c r="L4" s="43"/>
      <c r="M4" s="43"/>
      <c r="O4" s="133"/>
      <c r="P4" s="133"/>
      <c r="Q4" s="133"/>
      <c r="R4" s="131"/>
      <c r="S4" s="133"/>
      <c r="T4" s="133"/>
      <c r="U4" s="133"/>
      <c r="V4" s="133"/>
      <c r="W4" s="134"/>
      <c r="X4" s="81"/>
      <c r="Y4" s="81"/>
      <c r="Z4" s="81"/>
      <c r="AA4" s="81"/>
      <c r="AB4" s="81"/>
      <c r="AC4" s="81"/>
      <c r="AD4" s="81"/>
    </row>
    <row r="5" spans="1:30" s="41" customFormat="1" x14ac:dyDescent="0.25">
      <c r="A5" s="152" t="s">
        <v>137</v>
      </c>
      <c r="B5" s="151"/>
      <c r="D5" s="42"/>
      <c r="E5" s="42"/>
      <c r="F5" s="42"/>
      <c r="G5" s="43"/>
      <c r="H5" s="43"/>
      <c r="I5" s="43"/>
      <c r="J5" s="43"/>
      <c r="K5" s="43"/>
      <c r="L5" s="43"/>
      <c r="M5" s="43"/>
      <c r="O5" s="133"/>
      <c r="P5" s="133"/>
      <c r="Q5" s="133"/>
      <c r="R5" s="131"/>
      <c r="S5" s="133"/>
      <c r="T5" s="133"/>
      <c r="U5" s="133"/>
      <c r="V5" s="133"/>
      <c r="W5" s="134"/>
      <c r="X5" s="81"/>
      <c r="Y5" s="81"/>
      <c r="Z5" s="81"/>
      <c r="AA5" s="81"/>
      <c r="AB5" s="81"/>
      <c r="AC5" s="81"/>
      <c r="AD5" s="81"/>
    </row>
    <row r="6" spans="1:30" s="41" customFormat="1" x14ac:dyDescent="0.25">
      <c r="A6" s="41" t="str">
        <f>"Reflects LIUNA Pension Fund contribution of "&amp;TEXT(Pension2023,"$#,##0.000")</f>
        <v>Reflects LIUNA Pension Fund contribution of $0.450</v>
      </c>
      <c r="D6" s="119"/>
      <c r="E6" s="42"/>
      <c r="F6" s="42"/>
      <c r="G6" s="43"/>
      <c r="H6" s="43"/>
      <c r="I6" s="43"/>
      <c r="O6" s="133"/>
      <c r="P6" s="133"/>
      <c r="Q6" s="133"/>
      <c r="R6" s="131"/>
      <c r="S6" s="133"/>
      <c r="T6" s="133"/>
      <c r="U6" s="133"/>
      <c r="V6" s="133"/>
      <c r="W6" s="134"/>
      <c r="X6" s="81"/>
      <c r="Y6" s="81"/>
      <c r="Z6" s="81"/>
      <c r="AA6" s="81"/>
      <c r="AB6" s="81"/>
      <c r="AC6" s="81"/>
      <c r="AD6" s="81"/>
    </row>
    <row r="7" spans="1:30" x14ac:dyDescent="0.25">
      <c r="A7" s="41" t="s">
        <v>138</v>
      </c>
      <c r="B7" s="37"/>
      <c r="Q7" s="145" t="s">
        <v>126</v>
      </c>
      <c r="R7" s="142">
        <v>36.213999999999999</v>
      </c>
      <c r="S7" s="143"/>
      <c r="T7" s="143"/>
      <c r="U7" s="143"/>
      <c r="V7" s="143"/>
    </row>
    <row r="8" spans="1:30" x14ac:dyDescent="0.25">
      <c r="A8" s="151" t="s">
        <v>145</v>
      </c>
      <c r="R8" s="142"/>
      <c r="X8" s="80" t="s">
        <v>133</v>
      </c>
    </row>
    <row r="9" spans="1:30" x14ac:dyDescent="0.25">
      <c r="A9" s="151"/>
      <c r="R9" s="142"/>
    </row>
    <row r="10" spans="1:30" x14ac:dyDescent="0.25">
      <c r="C10" s="40"/>
      <c r="D10" s="44"/>
      <c r="E10" s="42"/>
      <c r="F10" s="44"/>
      <c r="G10" s="42"/>
      <c r="H10" s="45"/>
      <c r="I10" s="45"/>
      <c r="J10" s="45"/>
      <c r="K10" s="45"/>
      <c r="R10" s="142"/>
    </row>
    <row r="11" spans="1:30" ht="27" thickBot="1" x14ac:dyDescent="0.3">
      <c r="B11" s="46" t="s">
        <v>3</v>
      </c>
      <c r="C11" s="46" t="s">
        <v>4</v>
      </c>
      <c r="D11" s="46" t="s">
        <v>5</v>
      </c>
      <c r="E11" s="47" t="s">
        <v>32</v>
      </c>
      <c r="F11" s="46" t="s">
        <v>7</v>
      </c>
      <c r="G11" s="46" t="s">
        <v>45</v>
      </c>
      <c r="H11" s="46" t="s">
        <v>46</v>
      </c>
      <c r="I11" s="46" t="s">
        <v>10</v>
      </c>
      <c r="J11" s="146" t="s">
        <v>115</v>
      </c>
      <c r="K11" s="146" t="s">
        <v>116</v>
      </c>
      <c r="L11" s="150" t="s">
        <v>117</v>
      </c>
      <c r="M11" s="150" t="s">
        <v>118</v>
      </c>
      <c r="O11" s="129" t="s">
        <v>3</v>
      </c>
      <c r="P11" s="129" t="s">
        <v>122</v>
      </c>
      <c r="Q11" s="129" t="s">
        <v>59</v>
      </c>
      <c r="R11" s="131" t="s">
        <v>10</v>
      </c>
      <c r="S11" s="129" t="s">
        <v>115</v>
      </c>
      <c r="T11" s="129" t="s">
        <v>116</v>
      </c>
      <c r="U11" s="129" t="s">
        <v>117</v>
      </c>
      <c r="V11" s="129" t="s">
        <v>118</v>
      </c>
      <c r="X11" s="80" t="s">
        <v>3</v>
      </c>
      <c r="Y11" s="80" t="s">
        <v>134</v>
      </c>
      <c r="Z11" s="83" t="s">
        <v>10</v>
      </c>
      <c r="AA11" s="83" t="s">
        <v>115</v>
      </c>
      <c r="AB11" s="83" t="s">
        <v>116</v>
      </c>
      <c r="AC11" s="83" t="s">
        <v>117</v>
      </c>
      <c r="AD11" s="83" t="s">
        <v>118</v>
      </c>
    </row>
    <row r="12" spans="1:30" x14ac:dyDescent="0.25">
      <c r="B12" s="50" t="s">
        <v>11</v>
      </c>
      <c r="C12" s="90" t="s">
        <v>12</v>
      </c>
      <c r="D12" s="52" t="s">
        <v>13</v>
      </c>
      <c r="E12" s="53" t="s">
        <v>29</v>
      </c>
      <c r="F12" s="52">
        <v>313</v>
      </c>
      <c r="G12" s="50">
        <v>6</v>
      </c>
      <c r="H12" s="52" t="s">
        <v>15</v>
      </c>
      <c r="I12" s="54">
        <f>R12</f>
        <v>38.584715422625997</v>
      </c>
      <c r="J12" s="54">
        <f t="shared" ref="J12:M12" si="0">S12</f>
        <v>38.979005477400001</v>
      </c>
      <c r="K12" s="54">
        <f t="shared" si="0"/>
        <v>39.377278260000004</v>
      </c>
      <c r="L12" s="54">
        <f t="shared" si="0"/>
        <v>39.779574000000004</v>
      </c>
      <c r="M12" s="54">
        <f t="shared" si="0"/>
        <v>40.584165480000003</v>
      </c>
      <c r="O12" s="129" t="str">
        <f>B12</f>
        <v>06460C</v>
      </c>
      <c r="P12" s="129" t="s">
        <v>123</v>
      </c>
      <c r="Q12" s="135" t="str">
        <f>C12</f>
        <v>01</v>
      </c>
      <c r="R12" s="136">
        <f>((S12+Pension2024)*0.99)-Pension2024</f>
        <v>38.584715422625997</v>
      </c>
      <c r="S12" s="136">
        <f>((T12+Pension2024)*0.99)-Pension2024</f>
        <v>38.979005477400001</v>
      </c>
      <c r="T12" s="136">
        <f>((U12+Pension2024)*0.99)-Pension2024</f>
        <v>39.377278260000004</v>
      </c>
      <c r="U12" s="136">
        <f>((R7+Pension2023)*July2024IncrPerc)-Pension2024</f>
        <v>39.779574000000004</v>
      </c>
      <c r="V12" s="136">
        <f>((U12+Pension2024)*1.02)-Pension2024</f>
        <v>40.584165480000003</v>
      </c>
      <c r="X12" s="80" t="str">
        <f>B12</f>
        <v>06460C</v>
      </c>
      <c r="Y12" s="153" t="str">
        <f>C12</f>
        <v>01</v>
      </c>
      <c r="Z12" s="155">
        <f>ROUND(R12,3)</f>
        <v>38.585000000000001</v>
      </c>
      <c r="AA12" s="155">
        <f t="shared" ref="AA12:AD12" si="1">ROUND(S12,3)</f>
        <v>38.978999999999999</v>
      </c>
      <c r="AB12" s="155">
        <f t="shared" si="1"/>
        <v>39.377000000000002</v>
      </c>
      <c r="AC12" s="155">
        <f t="shared" si="1"/>
        <v>39.78</v>
      </c>
      <c r="AD12" s="155">
        <f t="shared" si="1"/>
        <v>40.584000000000003</v>
      </c>
    </row>
    <row r="13" spans="1:30" s="56" customFormat="1" x14ac:dyDescent="0.25">
      <c r="A13" s="38"/>
      <c r="B13" s="61"/>
      <c r="C13" s="61"/>
      <c r="D13" s="61"/>
      <c r="E13" s="61"/>
      <c r="F13" s="61"/>
      <c r="G13" s="61"/>
      <c r="H13" s="57"/>
      <c r="I13" s="61"/>
      <c r="J13" s="61"/>
      <c r="K13" s="61"/>
      <c r="L13" s="61"/>
      <c r="O13" s="137"/>
      <c r="P13" s="137"/>
      <c r="Q13" s="137"/>
      <c r="R13" s="136"/>
      <c r="S13" s="136"/>
      <c r="T13" s="147"/>
      <c r="U13" s="136"/>
      <c r="V13" s="136"/>
      <c r="W13" s="139"/>
      <c r="X13" s="82"/>
      <c r="Y13" s="82"/>
      <c r="Z13" s="82"/>
      <c r="AA13" s="82"/>
      <c r="AB13" s="82"/>
      <c r="AC13" s="82"/>
      <c r="AD13" s="82"/>
    </row>
    <row r="14" spans="1:30" s="56" customFormat="1" x14ac:dyDescent="0.25">
      <c r="B14" s="61"/>
      <c r="C14" s="61"/>
      <c r="D14" s="61"/>
      <c r="E14" s="61"/>
      <c r="F14" s="61"/>
      <c r="G14" s="61"/>
      <c r="H14" s="58"/>
      <c r="I14" s="61"/>
      <c r="J14" s="61"/>
      <c r="K14" s="61"/>
      <c r="L14" s="61"/>
      <c r="O14" s="137"/>
      <c r="P14" s="137"/>
      <c r="Q14" s="137"/>
      <c r="R14" s="138"/>
      <c r="S14" s="137"/>
      <c r="T14" s="137"/>
      <c r="U14" s="137"/>
      <c r="V14" s="137"/>
      <c r="W14" s="139"/>
      <c r="X14" s="82"/>
      <c r="Y14" s="82"/>
      <c r="Z14" s="82"/>
      <c r="AA14" s="82"/>
      <c r="AB14" s="82"/>
      <c r="AC14" s="82"/>
      <c r="AD14" s="82"/>
    </row>
    <row r="15" spans="1:30" s="56" customFormat="1" x14ac:dyDescent="0.25">
      <c r="B15" s="59" t="str">
        <f>"Provided that in addition to the wage rate above, eligible employees will have "&amp;TEXT(R15,"$#,###.00")&amp;" per hour contributed"</f>
        <v>Provided that in addition to the wage rate above, eligible employees will have $.45 per hour contributed</v>
      </c>
      <c r="C15" s="61"/>
      <c r="D15" s="61"/>
      <c r="E15" s="61"/>
      <c r="F15" s="61"/>
      <c r="G15" s="61"/>
      <c r="H15" s="60"/>
      <c r="I15" s="61"/>
      <c r="J15" s="61"/>
      <c r="K15" s="61"/>
      <c r="L15" s="61"/>
      <c r="O15" s="140" t="s">
        <v>129</v>
      </c>
      <c r="P15" s="137"/>
      <c r="Q15" s="140" t="s">
        <v>108</v>
      </c>
      <c r="R15" s="138">
        <v>0.45</v>
      </c>
      <c r="S15" s="144" t="s">
        <v>109</v>
      </c>
      <c r="T15" s="140"/>
      <c r="U15" s="140"/>
      <c r="V15" s="140"/>
      <c r="W15" s="141"/>
      <c r="X15" s="80"/>
      <c r="Y15" s="82"/>
      <c r="Z15" s="121"/>
      <c r="AA15" s="82"/>
      <c r="AB15" s="82"/>
      <c r="AC15" s="82"/>
      <c r="AD15" s="82"/>
    </row>
    <row r="16" spans="1:30" s="56" customFormat="1" x14ac:dyDescent="0.25">
      <c r="B16" s="61"/>
      <c r="C16" s="61" t="s">
        <v>17</v>
      </c>
      <c r="D16" s="61"/>
      <c r="E16" s="61"/>
      <c r="F16" s="61"/>
      <c r="G16" s="61"/>
      <c r="H16" s="60"/>
      <c r="I16" s="61"/>
      <c r="J16" s="61"/>
      <c r="K16" s="61"/>
      <c r="L16" s="61"/>
      <c r="O16" s="137"/>
      <c r="P16" s="137"/>
      <c r="Q16" s="137"/>
      <c r="R16" s="138"/>
      <c r="S16" s="137"/>
      <c r="T16" s="137"/>
      <c r="U16" s="137"/>
      <c r="V16" s="137"/>
      <c r="W16" s="139"/>
      <c r="X16" s="82"/>
      <c r="Y16" s="82"/>
      <c r="Z16" s="82"/>
      <c r="AA16" s="82"/>
      <c r="AB16" s="82"/>
      <c r="AC16" s="82"/>
      <c r="AD16" s="82"/>
    </row>
    <row r="17" spans="1:30" x14ac:dyDescent="0.25">
      <c r="A17" s="56"/>
      <c r="B17" s="52"/>
      <c r="D17" s="53"/>
      <c r="E17" s="52"/>
      <c r="F17" s="53"/>
      <c r="G17" s="52"/>
      <c r="H17" s="54"/>
      <c r="I17" s="70"/>
      <c r="J17" s="70"/>
      <c r="K17" s="89"/>
      <c r="M17" s="49"/>
    </row>
    <row r="18" spans="1:30" x14ac:dyDescent="0.25">
      <c r="B18" s="71" t="s">
        <v>21</v>
      </c>
      <c r="C18" s="91"/>
      <c r="D18" s="91"/>
      <c r="E18" s="91"/>
      <c r="F18" s="91"/>
      <c r="G18" s="91"/>
      <c r="H18" s="91"/>
      <c r="I18" s="91"/>
      <c r="J18" s="91"/>
      <c r="K18" s="91"/>
      <c r="L18" s="91"/>
      <c r="M18" s="49"/>
    </row>
    <row r="19" spans="1:30" x14ac:dyDescent="0.25">
      <c r="B19" s="72" t="s">
        <v>22</v>
      </c>
      <c r="M19" s="49"/>
      <c r="X19" s="80" t="s">
        <v>135</v>
      </c>
    </row>
    <row r="20" spans="1:30" x14ac:dyDescent="0.25">
      <c r="O20" s="129" t="s">
        <v>75</v>
      </c>
      <c r="R20" s="131" t="s">
        <v>76</v>
      </c>
      <c r="X20" s="80" t="s">
        <v>75</v>
      </c>
    </row>
    <row r="21" spans="1:30" x14ac:dyDescent="0.25">
      <c r="C21" s="73">
        <f ca="1">R21</f>
        <v>0.34066999999999997</v>
      </c>
      <c r="D21" s="72" t="s">
        <v>23</v>
      </c>
      <c r="F21" s="72"/>
      <c r="J21" s="73"/>
      <c r="O21" s="129" t="s">
        <v>63</v>
      </c>
      <c r="R21" s="142" cm="1">
        <f t="array" aca="1" ref="R21" ca="1">VLOOKUP(O21,INDIRECT($Q$3),3,0)*INDIRECT($S$2)</f>
        <v>0.34066999999999997</v>
      </c>
      <c r="X21" s="80" t="str">
        <f>O21</f>
        <v>10th</v>
      </c>
      <c r="Z21" s="154">
        <f ca="1">ROUND(R21,3)</f>
        <v>0.34100000000000003</v>
      </c>
    </row>
    <row r="22" spans="1:30" x14ac:dyDescent="0.25">
      <c r="C22" s="73">
        <f t="shared" ref="C22:C24" ca="1" si="2">R22</f>
        <v>0.43889999999999996</v>
      </c>
      <c r="D22" s="72" t="s">
        <v>24</v>
      </c>
      <c r="F22" s="72"/>
      <c r="J22" s="73"/>
      <c r="O22" s="129" t="s">
        <v>64</v>
      </c>
      <c r="R22" s="142" cm="1">
        <f t="array" aca="1" ref="R22" ca="1">VLOOKUP(O22,INDIRECT($Q$3),3,0)*INDIRECT($S$2)</f>
        <v>0.43889999999999996</v>
      </c>
      <c r="X22" s="80" t="str">
        <f t="shared" ref="X22:X24" si="3">O22</f>
        <v>15th</v>
      </c>
      <c r="Z22" s="154">
        <f t="shared" ref="Z22:Z24" ca="1" si="4">ROUND(R22,3)</f>
        <v>0.439</v>
      </c>
    </row>
    <row r="23" spans="1:30" x14ac:dyDescent="0.25">
      <c r="C23" s="73">
        <f t="shared" ca="1" si="2"/>
        <v>0.51622999999999997</v>
      </c>
      <c r="D23" s="72" t="s">
        <v>25</v>
      </c>
      <c r="F23" s="72"/>
      <c r="J23" s="73"/>
      <c r="O23" s="129" t="s">
        <v>65</v>
      </c>
      <c r="R23" s="142" cm="1">
        <f t="array" aca="1" ref="R23" ca="1">VLOOKUP(O23,INDIRECT($Q$3),3,0)*INDIRECT($S$2)</f>
        <v>0.51622999999999997</v>
      </c>
      <c r="X23" s="80" t="str">
        <f t="shared" si="3"/>
        <v>20th</v>
      </c>
      <c r="Z23" s="154">
        <f t="shared" ca="1" si="4"/>
        <v>0.51600000000000001</v>
      </c>
    </row>
    <row r="24" spans="1:30" x14ac:dyDescent="0.25">
      <c r="C24" s="73">
        <f t="shared" ca="1" si="2"/>
        <v>0.63744999999999996</v>
      </c>
      <c r="D24" s="72" t="s">
        <v>26</v>
      </c>
      <c r="F24" s="72"/>
      <c r="J24" s="73"/>
      <c r="O24" s="129" t="s">
        <v>66</v>
      </c>
      <c r="R24" s="142" cm="1">
        <f t="array" aca="1" ref="R24" ca="1">VLOOKUP(O24,INDIRECT($Q$3),3,0)*INDIRECT($S$2)</f>
        <v>0.63744999999999996</v>
      </c>
      <c r="X24" s="80" t="str">
        <f t="shared" si="3"/>
        <v>25th</v>
      </c>
      <c r="Z24" s="154">
        <f t="shared" ca="1" si="4"/>
        <v>0.63700000000000001</v>
      </c>
    </row>
    <row r="26" spans="1:30" x14ac:dyDescent="0.25">
      <c r="B26" s="92" t="s">
        <v>67</v>
      </c>
    </row>
    <row r="27" spans="1:30" x14ac:dyDescent="0.25">
      <c r="B27" s="41" t="s">
        <v>38</v>
      </c>
    </row>
    <row r="30" spans="1:30" x14ac:dyDescent="0.25">
      <c r="B30" s="93"/>
      <c r="C30" s="61"/>
    </row>
    <row r="31" spans="1:30" s="41" customFormat="1" ht="12.75" x14ac:dyDescent="0.2">
      <c r="A31" s="38"/>
      <c r="B31" s="61"/>
      <c r="M31" s="38"/>
      <c r="N31" s="38"/>
      <c r="O31" s="129"/>
      <c r="P31" s="129"/>
      <c r="Q31" s="129"/>
      <c r="R31" s="131"/>
      <c r="S31" s="129"/>
      <c r="T31" s="129"/>
      <c r="U31" s="129"/>
      <c r="V31" s="129"/>
      <c r="W31" s="132"/>
      <c r="X31" s="80"/>
      <c r="Y31" s="80"/>
      <c r="Z31" s="80"/>
      <c r="AA31" s="80"/>
      <c r="AB31" s="80"/>
      <c r="AC31" s="80"/>
      <c r="AD31" s="80"/>
    </row>
    <row r="32" spans="1:30" s="41" customFormat="1" ht="12.75" x14ac:dyDescent="0.2">
      <c r="A32" s="38" t="s">
        <v>151</v>
      </c>
      <c r="B32" s="93"/>
      <c r="C32" s="61"/>
      <c r="M32" s="38" t="s">
        <v>152</v>
      </c>
      <c r="N32" s="38"/>
      <c r="O32" s="129"/>
      <c r="P32" s="129"/>
      <c r="Q32" s="129"/>
      <c r="R32" s="131"/>
      <c r="S32" s="129"/>
      <c r="T32" s="129"/>
      <c r="U32" s="129"/>
      <c r="V32" s="129"/>
      <c r="W32" s="132"/>
      <c r="X32" s="80"/>
      <c r="Y32" s="80"/>
      <c r="Z32" s="80"/>
      <c r="AA32" s="80"/>
      <c r="AB32" s="80"/>
      <c r="AC32" s="80"/>
      <c r="AD32" s="80"/>
    </row>
  </sheetData>
  <sheetProtection sheet="1" objects="1" scenarios="1"/>
  <phoneticPr fontId="17" type="noConversion"/>
  <pageMargins left="0.7" right="0.7" top="0.75" bottom="0.75" header="0.3" footer="0.3"/>
  <pageSetup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35A7E-462E-417D-9C41-A23F852C203C}">
  <dimension ref="A1:AD32"/>
  <sheetViews>
    <sheetView showGridLines="0" workbookViewId="0">
      <selection activeCell="A32" sqref="A32"/>
    </sheetView>
  </sheetViews>
  <sheetFormatPr defaultColWidth="9.109375" defaultRowHeight="13.2" x14ac:dyDescent="0.25"/>
  <cols>
    <col min="1" max="1" width="2.5546875" style="38" customWidth="1"/>
    <col min="2" max="2" width="8.44140625" style="41" customWidth="1"/>
    <col min="3" max="3" width="9.5546875" style="41" customWidth="1"/>
    <col min="4" max="4" width="6.33203125" style="41" customWidth="1"/>
    <col min="5" max="5" width="9" style="41" bestFit="1" customWidth="1"/>
    <col min="6" max="6" width="4.6640625" style="41" hidden="1" customWidth="1"/>
    <col min="7" max="7" width="7.5546875" style="41" customWidth="1"/>
    <col min="8" max="8" width="8.44140625" style="41" customWidth="1"/>
    <col min="9" max="12" width="9" style="41" customWidth="1"/>
    <col min="13" max="13" width="9" style="38" customWidth="1"/>
    <col min="14" max="14" width="9.109375" style="38"/>
    <col min="15" max="15" width="15" style="129" bestFit="1" customWidth="1"/>
    <col min="16" max="16" width="6.88671875" style="129" bestFit="1" customWidth="1"/>
    <col min="17" max="17" width="13.33203125" style="129" bestFit="1" customWidth="1"/>
    <col min="18" max="18" width="7.5546875" style="131" bestFit="1" customWidth="1"/>
    <col min="19" max="19" width="15" style="129" bestFit="1" customWidth="1"/>
    <col min="20" max="22" width="7.5546875" style="129" bestFit="1" customWidth="1"/>
    <col min="23" max="23" width="15" style="132" hidden="1" customWidth="1"/>
    <col min="24" max="24" width="8.6640625" style="80" bestFit="1" customWidth="1"/>
    <col min="25" max="25" width="9.33203125" style="80" bestFit="1" customWidth="1"/>
    <col min="26" max="30" width="7.5546875" style="80" bestFit="1" customWidth="1"/>
    <col min="31" max="16384" width="9.109375" style="38"/>
  </cols>
  <sheetData>
    <row r="1" spans="1:30" x14ac:dyDescent="0.25">
      <c r="A1" s="38" t="s">
        <v>150</v>
      </c>
    </row>
    <row r="2" spans="1:30" x14ac:dyDescent="0.25">
      <c r="A2" s="37" t="str">
        <f>'July 2024'!A2</f>
        <v>Appendix "A"</v>
      </c>
      <c r="O2" s="129" t="s">
        <v>141</v>
      </c>
      <c r="Q2" s="130">
        <v>1</v>
      </c>
    </row>
    <row r="3" spans="1:30" x14ac:dyDescent="0.25">
      <c r="A3" s="37" t="str">
        <f>'July 2024'!A3</f>
        <v>International Association of Machinist and Aerospace Workers, District Lodge 77, AFL-CIO (CMA)</v>
      </c>
      <c r="O3" s="129" t="s">
        <v>119</v>
      </c>
      <c r="Q3" s="129" t="s">
        <v>124</v>
      </c>
    </row>
    <row r="4" spans="1:30" s="41" customFormat="1" x14ac:dyDescent="0.25">
      <c r="A4" s="37" t="s">
        <v>149</v>
      </c>
      <c r="D4" s="42"/>
      <c r="E4" s="42"/>
      <c r="F4" s="42"/>
      <c r="G4" s="43"/>
      <c r="H4" s="43"/>
      <c r="I4" s="43"/>
      <c r="J4" s="43"/>
      <c r="K4" s="43"/>
      <c r="L4" s="43"/>
      <c r="M4" s="43"/>
      <c r="O4" s="133"/>
      <c r="P4" s="133"/>
      <c r="Q4" s="133"/>
      <c r="R4" s="131"/>
      <c r="S4" s="133"/>
      <c r="T4" s="133"/>
      <c r="U4" s="133"/>
      <c r="V4" s="133"/>
      <c r="W4" s="134"/>
      <c r="X4" s="81"/>
      <c r="Y4" s="81"/>
      <c r="Z4" s="81"/>
      <c r="AA4" s="81"/>
      <c r="AB4" s="81"/>
      <c r="AC4" s="81"/>
      <c r="AD4" s="81"/>
    </row>
    <row r="5" spans="1:30" s="41" customFormat="1" x14ac:dyDescent="0.25">
      <c r="A5" s="152"/>
      <c r="D5" s="42"/>
      <c r="E5" s="42"/>
      <c r="F5" s="42"/>
      <c r="G5" s="43"/>
      <c r="H5" s="43"/>
      <c r="I5" s="43"/>
      <c r="J5" s="43"/>
      <c r="K5" s="43"/>
      <c r="L5" s="43"/>
      <c r="M5" s="43"/>
      <c r="O5" s="133"/>
      <c r="P5" s="133"/>
      <c r="Q5" s="133"/>
      <c r="R5" s="131"/>
      <c r="S5" s="133"/>
      <c r="T5" s="133"/>
      <c r="U5" s="133"/>
      <c r="V5" s="133"/>
      <c r="W5" s="134"/>
      <c r="X5" s="81"/>
      <c r="Y5" s="81"/>
      <c r="Z5" s="81"/>
      <c r="AA5" s="81"/>
      <c r="AB5" s="81"/>
      <c r="AC5" s="81"/>
      <c r="AD5" s="81"/>
    </row>
    <row r="6" spans="1:30" s="41" customFormat="1" x14ac:dyDescent="0.25">
      <c r="A6" s="41" t="str">
        <f>"Rreflects LIUNA Pension Fund contribution increase from "&amp;TEXT(Pension2024,"$#,##0.000")&amp;" to "&amp;TEXT(PensionOct2024,"$#,##0.000")&amp; " per hour"</f>
        <v>Rreflects LIUNA Pension Fund contribution increase from $0.450 to $0.520 per hour</v>
      </c>
      <c r="D6" s="119"/>
      <c r="E6" s="42"/>
      <c r="F6" s="42"/>
      <c r="G6" s="43"/>
      <c r="H6" s="43"/>
      <c r="I6" s="43"/>
      <c r="O6" s="133"/>
      <c r="P6" s="133"/>
      <c r="Q6" s="133"/>
      <c r="R6" s="142"/>
      <c r="S6" s="133"/>
      <c r="T6" s="133"/>
      <c r="U6" s="133"/>
      <c r="V6" s="133"/>
      <c r="W6" s="134"/>
      <c r="X6" s="81"/>
      <c r="Y6" s="81"/>
      <c r="Z6" s="81"/>
      <c r="AA6" s="81"/>
      <c r="AB6" s="81"/>
      <c r="AC6" s="81"/>
      <c r="AD6" s="81"/>
    </row>
    <row r="7" spans="1:30" s="41" customFormat="1" x14ac:dyDescent="0.25">
      <c r="A7" s="41" t="str">
        <f>'July 2024'!A7</f>
        <v>Rates do not include pension contribution</v>
      </c>
      <c r="D7" s="119"/>
      <c r="E7" s="42"/>
      <c r="F7" s="42"/>
      <c r="G7" s="43"/>
      <c r="H7" s="43"/>
      <c r="I7" s="43"/>
      <c r="O7" s="133"/>
      <c r="P7" s="133"/>
      <c r="Q7" s="133"/>
      <c r="R7" s="131"/>
      <c r="S7" s="133"/>
      <c r="T7" s="133"/>
      <c r="U7" s="133"/>
      <c r="V7" s="133"/>
      <c r="W7" s="134"/>
      <c r="X7" s="81"/>
      <c r="Y7" s="81"/>
      <c r="Z7" s="81"/>
      <c r="AA7" s="81"/>
      <c r="AB7" s="81"/>
      <c r="AC7" s="81"/>
      <c r="AD7" s="81"/>
    </row>
    <row r="8" spans="1:30" x14ac:dyDescent="0.25">
      <c r="A8" s="151" t="s">
        <v>153</v>
      </c>
      <c r="Q8" s="145"/>
      <c r="R8" s="142"/>
      <c r="S8" s="143"/>
      <c r="T8" s="143"/>
      <c r="U8" s="143"/>
      <c r="V8" s="143"/>
    </row>
    <row r="9" spans="1:30" x14ac:dyDescent="0.25">
      <c r="R9" s="142"/>
      <c r="X9" s="80" t="s">
        <v>133</v>
      </c>
    </row>
    <row r="10" spans="1:30" x14ac:dyDescent="0.25">
      <c r="C10" s="40"/>
      <c r="D10" s="44"/>
      <c r="E10" s="42"/>
      <c r="F10" s="44"/>
      <c r="G10" s="42"/>
      <c r="H10" s="45"/>
      <c r="I10" s="45"/>
      <c r="J10" s="45"/>
      <c r="K10" s="45"/>
      <c r="R10" s="148">
        <v>4</v>
      </c>
      <c r="S10" s="149">
        <f>R10+1</f>
        <v>5</v>
      </c>
      <c r="T10" s="149">
        <f t="shared" ref="T10:V10" si="0">S10+1</f>
        <v>6</v>
      </c>
      <c r="U10" s="149">
        <f t="shared" si="0"/>
        <v>7</v>
      </c>
      <c r="V10" s="149">
        <f t="shared" si="0"/>
        <v>8</v>
      </c>
    </row>
    <row r="11" spans="1:30" ht="27" thickBot="1" x14ac:dyDescent="0.3">
      <c r="B11" s="46" t="s">
        <v>3</v>
      </c>
      <c r="C11" s="46" t="s">
        <v>4</v>
      </c>
      <c r="D11" s="46" t="s">
        <v>5</v>
      </c>
      <c r="E11" s="47" t="s">
        <v>32</v>
      </c>
      <c r="F11" s="46" t="s">
        <v>7</v>
      </c>
      <c r="G11" s="46" t="s">
        <v>45</v>
      </c>
      <c r="H11" s="46" t="s">
        <v>46</v>
      </c>
      <c r="I11" s="46" t="s">
        <v>10</v>
      </c>
      <c r="J11" s="146" t="s">
        <v>115</v>
      </c>
      <c r="K11" s="146" t="s">
        <v>116</v>
      </c>
      <c r="L11" s="150" t="s">
        <v>117</v>
      </c>
      <c r="M11" s="150" t="s">
        <v>118</v>
      </c>
      <c r="O11" s="129" t="s">
        <v>3</v>
      </c>
      <c r="P11" s="129" t="s">
        <v>122</v>
      </c>
      <c r="Q11" s="129" t="s">
        <v>59</v>
      </c>
      <c r="R11" s="131" t="s">
        <v>10</v>
      </c>
      <c r="S11" s="129" t="s">
        <v>115</v>
      </c>
      <c r="T11" s="129" t="s">
        <v>116</v>
      </c>
      <c r="U11" s="129" t="s">
        <v>117</v>
      </c>
      <c r="V11" s="129" t="s">
        <v>118</v>
      </c>
      <c r="X11" s="80" t="s">
        <v>3</v>
      </c>
      <c r="Y11" s="80" t="s">
        <v>134</v>
      </c>
      <c r="Z11" s="83" t="s">
        <v>10</v>
      </c>
      <c r="AA11" s="83" t="s">
        <v>115</v>
      </c>
      <c r="AB11" s="83" t="s">
        <v>116</v>
      </c>
      <c r="AC11" s="83" t="s">
        <v>117</v>
      </c>
      <c r="AD11" s="83" t="s">
        <v>118</v>
      </c>
    </row>
    <row r="12" spans="1:30" x14ac:dyDescent="0.25">
      <c r="B12" s="50" t="s">
        <v>11</v>
      </c>
      <c r="C12" s="90" t="s">
        <v>12</v>
      </c>
      <c r="D12" s="52" t="s">
        <v>13</v>
      </c>
      <c r="E12" s="53" t="s">
        <v>29</v>
      </c>
      <c r="F12" s="52">
        <v>313</v>
      </c>
      <c r="G12" s="50">
        <v>6</v>
      </c>
      <c r="H12" s="52" t="s">
        <v>15</v>
      </c>
      <c r="I12" s="54">
        <f ca="1">R12</f>
        <v>38.514715422625997</v>
      </c>
      <c r="J12" s="54">
        <f t="shared" ref="J12:M12" ca="1" si="1">S12</f>
        <v>38.909005477400001</v>
      </c>
      <c r="K12" s="54">
        <f t="shared" ca="1" si="1"/>
        <v>39.307278260000004</v>
      </c>
      <c r="L12" s="54">
        <f t="shared" ca="1" si="1"/>
        <v>39.709574000000003</v>
      </c>
      <c r="M12" s="54">
        <f t="shared" ca="1" si="1"/>
        <v>40.514165480000003</v>
      </c>
      <c r="O12" s="129" t="str">
        <f>B12</f>
        <v>06460C</v>
      </c>
      <c r="P12" s="129" t="s">
        <v>123</v>
      </c>
      <c r="Q12" s="135" t="str">
        <f>C12</f>
        <v>01</v>
      </c>
      <c r="R12" s="136">
        <f ca="1">((VLOOKUP($O12,INDIRECT($Q$3),R10,0)+Pension2024)-PensionOct2024)</f>
        <v>38.514715422625997</v>
      </c>
      <c r="S12" s="136">
        <f ca="1">((VLOOKUP($O12,INDIRECT($Q$3),S10,0)+Pension2024)-PensionOct2024)</f>
        <v>38.909005477400001</v>
      </c>
      <c r="T12" s="136">
        <f ca="1">((VLOOKUP($O12,INDIRECT($Q$3),T10,0)+Pension2024)-PensionOct2024)</f>
        <v>39.307278260000004</v>
      </c>
      <c r="U12" s="136">
        <f ca="1">((VLOOKUP($O12,INDIRECT($Q$3),U10,0)+Pension2024)-PensionOct2024)</f>
        <v>39.709574000000003</v>
      </c>
      <c r="V12" s="136">
        <f ca="1">((VLOOKUP($O12,INDIRECT($Q$3),V10,0)+Pension2024)-PensionOct2024)</f>
        <v>40.514165480000003</v>
      </c>
      <c r="X12" s="80" t="str">
        <f>B12</f>
        <v>06460C</v>
      </c>
      <c r="Y12" s="153" t="str">
        <f>C12</f>
        <v>01</v>
      </c>
      <c r="Z12" s="155">
        <f ca="1">ROUND(R12,3)</f>
        <v>38.515000000000001</v>
      </c>
      <c r="AA12" s="155">
        <f t="shared" ref="AA12:AD12" ca="1" si="2">ROUND(S12,3)</f>
        <v>38.908999999999999</v>
      </c>
      <c r="AB12" s="155">
        <f t="shared" ca="1" si="2"/>
        <v>39.307000000000002</v>
      </c>
      <c r="AC12" s="155">
        <f t="shared" ca="1" si="2"/>
        <v>39.71</v>
      </c>
      <c r="AD12" s="155">
        <f t="shared" ca="1" si="2"/>
        <v>40.514000000000003</v>
      </c>
    </row>
    <row r="13" spans="1:30" s="56" customFormat="1" x14ac:dyDescent="0.25">
      <c r="B13" s="61"/>
      <c r="C13" s="61"/>
      <c r="D13" s="61"/>
      <c r="E13" s="61"/>
      <c r="F13" s="61"/>
      <c r="G13" s="61"/>
      <c r="H13" s="57"/>
      <c r="I13" s="61"/>
      <c r="J13" s="61"/>
      <c r="K13" s="61"/>
      <c r="L13" s="61"/>
      <c r="O13" s="137"/>
      <c r="P13" s="137"/>
      <c r="Q13" s="137"/>
      <c r="R13" s="136"/>
      <c r="S13" s="137"/>
      <c r="T13" s="137"/>
      <c r="U13" s="137"/>
      <c r="V13" s="137"/>
      <c r="W13" s="139"/>
      <c r="X13" s="82"/>
      <c r="Y13" s="82"/>
      <c r="Z13" s="82"/>
      <c r="AA13" s="82"/>
      <c r="AB13" s="82"/>
      <c r="AC13" s="82"/>
      <c r="AD13" s="82"/>
    </row>
    <row r="14" spans="1:30" s="56" customFormat="1" x14ac:dyDescent="0.25">
      <c r="B14" s="61"/>
      <c r="C14" s="61"/>
      <c r="D14" s="61"/>
      <c r="E14" s="61"/>
      <c r="F14" s="61"/>
      <c r="G14" s="61"/>
      <c r="H14" s="58"/>
      <c r="I14" s="61"/>
      <c r="J14" s="61"/>
      <c r="K14" s="61"/>
      <c r="L14" s="61"/>
      <c r="O14" s="137"/>
      <c r="P14" s="137"/>
      <c r="Q14" s="137"/>
      <c r="R14" s="136"/>
      <c r="S14" s="137"/>
      <c r="T14" s="137"/>
      <c r="U14" s="137"/>
      <c r="V14" s="137"/>
      <c r="W14" s="139"/>
      <c r="X14" s="82"/>
      <c r="Y14" s="82"/>
      <c r="Z14" s="82"/>
      <c r="AA14" s="82"/>
      <c r="AB14" s="82"/>
      <c r="AC14" s="82"/>
      <c r="AD14" s="82"/>
    </row>
    <row r="15" spans="1:30" s="56" customFormat="1" x14ac:dyDescent="0.25">
      <c r="B15" s="59" t="str">
        <f>"Provided that in addition to the wage rate above, eligible employees will have "&amp;TEXT(R15,"$#,###.00")&amp;" per hour contributed"</f>
        <v>Provided that in addition to the wage rate above, eligible employees will have $.52 per hour contributed</v>
      </c>
      <c r="C15" s="61"/>
      <c r="D15" s="61"/>
      <c r="E15" s="61"/>
      <c r="F15" s="61"/>
      <c r="G15" s="61"/>
      <c r="H15" s="60"/>
      <c r="I15" s="61"/>
      <c r="J15" s="61"/>
      <c r="K15" s="61"/>
      <c r="L15" s="61"/>
      <c r="O15" s="137" t="s">
        <v>81</v>
      </c>
      <c r="P15" s="137"/>
      <c r="Q15" s="140" t="s">
        <v>108</v>
      </c>
      <c r="R15" s="138">
        <v>0.52</v>
      </c>
      <c r="S15" s="144" t="s">
        <v>109</v>
      </c>
      <c r="T15" s="140"/>
      <c r="U15" s="140"/>
      <c r="V15" s="140"/>
      <c r="W15" s="141"/>
      <c r="X15" s="80"/>
      <c r="Y15" s="82"/>
      <c r="Z15" s="121"/>
      <c r="AA15" s="82"/>
      <c r="AB15" s="82"/>
      <c r="AC15" s="82"/>
      <c r="AD15" s="82"/>
    </row>
    <row r="16" spans="1:30" s="56" customFormat="1" x14ac:dyDescent="0.25">
      <c r="B16" s="61"/>
      <c r="C16" s="61" t="s">
        <v>17</v>
      </c>
      <c r="D16" s="61"/>
      <c r="E16" s="61"/>
      <c r="F16" s="61"/>
      <c r="G16" s="61"/>
      <c r="H16" s="60"/>
      <c r="I16" s="61"/>
      <c r="J16" s="61"/>
      <c r="K16" s="61"/>
      <c r="L16" s="61"/>
      <c r="O16" s="137"/>
      <c r="P16" s="137"/>
      <c r="Q16" s="137"/>
      <c r="R16" s="138"/>
      <c r="S16" s="137"/>
      <c r="T16" s="137"/>
      <c r="U16" s="137"/>
      <c r="V16" s="137"/>
      <c r="W16" s="139"/>
      <c r="X16" s="82"/>
      <c r="Y16" s="82"/>
      <c r="Z16" s="82"/>
      <c r="AA16" s="82"/>
      <c r="AB16" s="82"/>
      <c r="AC16" s="82"/>
      <c r="AD16" s="82"/>
    </row>
    <row r="17" spans="1:30" x14ac:dyDescent="0.25">
      <c r="B17" s="52"/>
      <c r="D17" s="53"/>
      <c r="E17" s="52"/>
      <c r="F17" s="53"/>
      <c r="G17" s="52"/>
      <c r="H17" s="54"/>
      <c r="I17" s="70"/>
      <c r="J17" s="70"/>
      <c r="K17" s="89"/>
      <c r="M17" s="49"/>
    </row>
    <row r="18" spans="1:30" x14ac:dyDescent="0.25">
      <c r="B18" s="71" t="s">
        <v>21</v>
      </c>
      <c r="C18" s="91"/>
      <c r="D18" s="91"/>
      <c r="E18" s="91"/>
      <c r="F18" s="91"/>
      <c r="G18" s="91"/>
      <c r="H18" s="91"/>
      <c r="I18" s="91"/>
      <c r="J18" s="91"/>
      <c r="K18" s="91"/>
      <c r="L18" s="91"/>
      <c r="M18" s="49"/>
    </row>
    <row r="19" spans="1:30" x14ac:dyDescent="0.25">
      <c r="B19" s="72" t="s">
        <v>22</v>
      </c>
      <c r="M19" s="49"/>
      <c r="X19" s="80" t="s">
        <v>135</v>
      </c>
    </row>
    <row r="20" spans="1:30" x14ac:dyDescent="0.25">
      <c r="O20" s="129" t="s">
        <v>75</v>
      </c>
      <c r="R20" s="131" t="s">
        <v>76</v>
      </c>
      <c r="X20" s="80" t="s">
        <v>75</v>
      </c>
    </row>
    <row r="21" spans="1:30" x14ac:dyDescent="0.25">
      <c r="C21" s="73">
        <f ca="1">R21</f>
        <v>0.34066999999999997</v>
      </c>
      <c r="D21" s="72" t="s">
        <v>23</v>
      </c>
      <c r="F21" s="72"/>
      <c r="J21" s="73"/>
      <c r="O21" s="129" t="s">
        <v>63</v>
      </c>
      <c r="R21" s="142" cm="1">
        <f t="array" aca="1" ref="R21" ca="1">VLOOKUP(O21,INDIRECT($Q$3),4,0)*INDIRECT($O$2)</f>
        <v>0.34066999999999997</v>
      </c>
      <c r="X21" s="80" t="str">
        <f>O21</f>
        <v>10th</v>
      </c>
      <c r="Z21" s="154">
        <f ca="1">ROUND(R21,3)</f>
        <v>0.34100000000000003</v>
      </c>
    </row>
    <row r="22" spans="1:30" x14ac:dyDescent="0.25">
      <c r="C22" s="73">
        <f t="shared" ref="C22:C24" ca="1" si="3">R22</f>
        <v>0.43889999999999996</v>
      </c>
      <c r="D22" s="72" t="s">
        <v>24</v>
      </c>
      <c r="F22" s="72"/>
      <c r="J22" s="73"/>
      <c r="O22" s="129" t="s">
        <v>64</v>
      </c>
      <c r="R22" s="142" cm="1">
        <f t="array" aca="1" ref="R22" ca="1">VLOOKUP(O22,INDIRECT($Q$3),4,0)*INDIRECT($O$2)</f>
        <v>0.43889999999999996</v>
      </c>
      <c r="X22" s="80" t="str">
        <f t="shared" ref="X22:X24" si="4">O22</f>
        <v>15th</v>
      </c>
      <c r="Z22" s="154">
        <f t="shared" ref="Z22:Z24" ca="1" si="5">ROUND(R22,3)</f>
        <v>0.439</v>
      </c>
    </row>
    <row r="23" spans="1:30" x14ac:dyDescent="0.25">
      <c r="C23" s="73">
        <f t="shared" ca="1" si="3"/>
        <v>0.51622999999999997</v>
      </c>
      <c r="D23" s="72" t="s">
        <v>25</v>
      </c>
      <c r="F23" s="72"/>
      <c r="J23" s="73"/>
      <c r="O23" s="129" t="s">
        <v>65</v>
      </c>
      <c r="R23" s="142" cm="1">
        <f t="array" aca="1" ref="R23" ca="1">VLOOKUP(O23,INDIRECT($Q$3),4,0)*INDIRECT($O$2)</f>
        <v>0.51622999999999997</v>
      </c>
      <c r="X23" s="80" t="str">
        <f t="shared" si="4"/>
        <v>20th</v>
      </c>
      <c r="Z23" s="154">
        <f t="shared" ca="1" si="5"/>
        <v>0.51600000000000001</v>
      </c>
    </row>
    <row r="24" spans="1:30" x14ac:dyDescent="0.25">
      <c r="C24" s="73">
        <f t="shared" ca="1" si="3"/>
        <v>0.63744999999999996</v>
      </c>
      <c r="D24" s="72" t="s">
        <v>26</v>
      </c>
      <c r="F24" s="72"/>
      <c r="J24" s="73"/>
      <c r="O24" s="129" t="s">
        <v>66</v>
      </c>
      <c r="R24" s="142" cm="1">
        <f t="array" aca="1" ref="R24" ca="1">VLOOKUP(O24,INDIRECT($Q$3),4,0)*INDIRECT($O$2)</f>
        <v>0.63744999999999996</v>
      </c>
      <c r="X24" s="80" t="str">
        <f t="shared" si="4"/>
        <v>25th</v>
      </c>
      <c r="Z24" s="154">
        <f t="shared" ca="1" si="5"/>
        <v>0.63700000000000001</v>
      </c>
    </row>
    <row r="25" spans="1:30" x14ac:dyDescent="0.25">
      <c r="R25" s="142"/>
    </row>
    <row r="26" spans="1:30" x14ac:dyDescent="0.25">
      <c r="B26" s="92" t="s">
        <v>67</v>
      </c>
    </row>
    <row r="27" spans="1:30" x14ac:dyDescent="0.25">
      <c r="B27" s="41" t="s">
        <v>38</v>
      </c>
    </row>
    <row r="28" spans="1:30" x14ac:dyDescent="0.25">
      <c r="R28" s="142"/>
    </row>
    <row r="29" spans="1:30" x14ac:dyDescent="0.25">
      <c r="R29" s="142"/>
    </row>
    <row r="30" spans="1:30" x14ac:dyDescent="0.25">
      <c r="B30" s="93"/>
      <c r="C30" s="61"/>
      <c r="R30" s="142"/>
    </row>
    <row r="31" spans="1:30" s="41" customFormat="1" ht="12.75" x14ac:dyDescent="0.2">
      <c r="A31" s="38"/>
      <c r="B31" s="61"/>
      <c r="M31" s="38"/>
      <c r="N31" s="38"/>
      <c r="O31" s="129"/>
      <c r="P31" s="129"/>
      <c r="Q31" s="129"/>
      <c r="R31" s="142"/>
      <c r="S31" s="129"/>
      <c r="T31" s="129"/>
      <c r="U31" s="129"/>
      <c r="V31" s="129"/>
      <c r="W31" s="132"/>
      <c r="X31" s="80"/>
      <c r="Y31" s="80"/>
      <c r="Z31" s="80"/>
      <c r="AA31" s="80"/>
      <c r="AB31" s="80"/>
      <c r="AC31" s="80"/>
      <c r="AD31" s="80"/>
    </row>
    <row r="32" spans="1:30" s="41" customFormat="1" ht="12.75" x14ac:dyDescent="0.2">
      <c r="A32" s="38"/>
      <c r="B32" s="93"/>
      <c r="C32" s="61"/>
      <c r="M32" s="38" t="s">
        <v>152</v>
      </c>
      <c r="N32" s="38"/>
      <c r="O32" s="129"/>
      <c r="P32" s="129"/>
      <c r="Q32" s="129"/>
      <c r="R32" s="142"/>
      <c r="S32" s="129"/>
      <c r="T32" s="129"/>
      <c r="U32" s="129"/>
      <c r="V32" s="129"/>
      <c r="W32" s="132"/>
      <c r="X32" s="80"/>
      <c r="Y32" s="80"/>
      <c r="Z32" s="80"/>
      <c r="AA32" s="80"/>
      <c r="AB32" s="80"/>
      <c r="AC32" s="80"/>
      <c r="AD32" s="80"/>
    </row>
  </sheetData>
  <sheetProtection sheet="1" objects="1" scenarios="1"/>
  <pageMargins left="0.7" right="0.7" top="0.75" bottom="0.75" header="0.3" footer="0.3"/>
  <pageSetup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44F36-F621-44F0-9B15-65544272FF89}">
  <dimension ref="A1:AD35"/>
  <sheetViews>
    <sheetView showGridLines="0" workbookViewId="0">
      <selection activeCell="A32" sqref="A32"/>
    </sheetView>
  </sheetViews>
  <sheetFormatPr defaultColWidth="9.109375" defaultRowHeight="13.2" x14ac:dyDescent="0.25"/>
  <cols>
    <col min="1" max="1" width="2.5546875" style="38" customWidth="1"/>
    <col min="2" max="2" width="8.44140625" style="41" customWidth="1"/>
    <col min="3" max="3" width="9.5546875" style="41" customWidth="1"/>
    <col min="4" max="4" width="6.33203125" style="41" customWidth="1"/>
    <col min="5" max="5" width="9" style="41" bestFit="1" customWidth="1"/>
    <col min="6" max="6" width="4.6640625" style="41" hidden="1" customWidth="1"/>
    <col min="7" max="7" width="7.5546875" style="41" customWidth="1"/>
    <col min="8" max="8" width="8.44140625" style="41" customWidth="1"/>
    <col min="9" max="12" width="9" style="41" customWidth="1"/>
    <col min="13" max="13" width="9" style="38" customWidth="1"/>
    <col min="14" max="14" width="9.109375" style="38"/>
    <col min="15" max="15" width="15.88671875" style="129" hidden="1" customWidth="1"/>
    <col min="16" max="16" width="6.88671875" style="129" hidden="1" customWidth="1"/>
    <col min="17" max="17" width="14.5546875" style="129" hidden="1" customWidth="1"/>
    <col min="18" max="18" width="8.44140625" style="142" hidden="1" customWidth="1"/>
    <col min="19" max="19" width="9.33203125" style="129" hidden="1" customWidth="1"/>
    <col min="20" max="22" width="7.5546875" style="129" hidden="1" customWidth="1"/>
    <col min="23" max="23" width="15" style="132" hidden="1" customWidth="1"/>
    <col min="24" max="30" width="0" style="80" hidden="1" customWidth="1"/>
    <col min="31" max="16384" width="9.109375" style="38"/>
  </cols>
  <sheetData>
    <row r="1" spans="1:30" x14ac:dyDescent="0.25">
      <c r="A1" s="38" t="s">
        <v>150</v>
      </c>
    </row>
    <row r="2" spans="1:30" x14ac:dyDescent="0.25">
      <c r="A2" s="37" t="str">
        <f>'July 2024'!A2</f>
        <v>Appendix "A"</v>
      </c>
      <c r="O2" s="129" t="s">
        <v>125</v>
      </c>
      <c r="Q2" s="130">
        <v>1.04</v>
      </c>
    </row>
    <row r="3" spans="1:30" x14ac:dyDescent="0.25">
      <c r="A3" s="37" t="str">
        <f>'July 2024'!A3</f>
        <v>International Association of Machinist and Aerospace Workers, District Lodge 77, AFL-CIO (CMA)</v>
      </c>
      <c r="O3" s="129" t="s">
        <v>119</v>
      </c>
      <c r="Q3" s="129" t="s">
        <v>140</v>
      </c>
    </row>
    <row r="4" spans="1:30" s="41" customFormat="1" x14ac:dyDescent="0.25">
      <c r="A4" s="37" t="s">
        <v>130</v>
      </c>
      <c r="D4" s="42"/>
      <c r="E4" s="42"/>
      <c r="F4" s="42"/>
      <c r="G4" s="43"/>
      <c r="H4" s="43"/>
      <c r="I4" s="43"/>
      <c r="J4" s="43"/>
      <c r="K4" s="43"/>
      <c r="L4" s="43"/>
      <c r="M4" s="43"/>
      <c r="O4" s="133"/>
      <c r="P4" s="133"/>
      <c r="Q4" s="133"/>
      <c r="R4" s="142"/>
      <c r="S4" s="133"/>
      <c r="T4" s="133"/>
      <c r="U4" s="133"/>
      <c r="V4" s="133"/>
      <c r="W4" s="134"/>
      <c r="X4" s="81"/>
      <c r="Y4" s="81"/>
      <c r="Z4" s="81"/>
      <c r="AA4" s="81"/>
      <c r="AB4" s="81"/>
      <c r="AC4" s="81"/>
      <c r="AD4" s="81"/>
    </row>
    <row r="5" spans="1:30" s="41" customFormat="1" x14ac:dyDescent="0.25">
      <c r="A5" s="152" t="str" cm="1">
        <f t="array" aca="1" ref="A5" ca="1">"COLA Increase: "&amp;TEXT(INDIRECT(O2)-1,"#.0%")</f>
        <v>COLA Increase: 4.0%</v>
      </c>
      <c r="D5" s="42"/>
      <c r="E5" s="42"/>
      <c r="F5" s="42"/>
      <c r="G5" s="43"/>
      <c r="H5" s="43"/>
      <c r="I5" s="43"/>
      <c r="J5" s="43"/>
      <c r="K5" s="43"/>
      <c r="L5" s="43"/>
      <c r="M5" s="43"/>
      <c r="O5" s="133"/>
      <c r="P5" s="133"/>
      <c r="Q5" s="133"/>
      <c r="R5" s="142"/>
      <c r="S5" s="133"/>
      <c r="T5" s="133"/>
      <c r="U5" s="133"/>
      <c r="V5" s="133"/>
      <c r="W5" s="134"/>
      <c r="X5" s="81"/>
      <c r="Y5" s="81"/>
      <c r="Z5" s="81"/>
      <c r="AA5" s="81"/>
      <c r="AB5" s="81"/>
      <c r="AC5" s="81"/>
      <c r="AD5" s="81"/>
    </row>
    <row r="6" spans="1:30" s="41" customFormat="1" x14ac:dyDescent="0.25">
      <c r="A6" s="41" t="str">
        <f>"Reflects LIUNA Pension Fund contribution of "&amp;TEXT(PensionOct2024,"$#,##0.000")</f>
        <v>Reflects LIUNA Pension Fund contribution of $0.520</v>
      </c>
      <c r="D6" s="119"/>
      <c r="E6" s="42"/>
      <c r="F6" s="42"/>
      <c r="G6" s="43"/>
      <c r="H6" s="43"/>
      <c r="I6" s="43"/>
      <c r="O6" s="133"/>
      <c r="P6" s="133"/>
      <c r="Q6" s="133"/>
      <c r="R6" s="142"/>
      <c r="S6" s="133"/>
      <c r="T6" s="133"/>
      <c r="U6" s="133"/>
      <c r="V6" s="133"/>
      <c r="W6" s="134"/>
      <c r="X6" s="81"/>
      <c r="Y6" s="81"/>
      <c r="Z6" s="81"/>
      <c r="AA6" s="81"/>
      <c r="AB6" s="81"/>
      <c r="AC6" s="81"/>
      <c r="AD6" s="81"/>
    </row>
    <row r="7" spans="1:30" s="41" customFormat="1" x14ac:dyDescent="0.25">
      <c r="A7" s="41" t="str">
        <f>'July 2024'!A7</f>
        <v>Rates do not include pension contribution</v>
      </c>
      <c r="D7" s="119"/>
      <c r="E7" s="42"/>
      <c r="F7" s="42"/>
      <c r="G7" s="43"/>
      <c r="H7" s="43"/>
      <c r="I7" s="43"/>
      <c r="O7" s="133"/>
      <c r="P7" s="133"/>
      <c r="Q7" s="133"/>
      <c r="R7" s="142"/>
      <c r="S7" s="133"/>
      <c r="T7" s="133"/>
      <c r="U7" s="133"/>
      <c r="V7" s="133"/>
      <c r="W7" s="134"/>
      <c r="X7" s="81"/>
      <c r="Y7" s="81"/>
      <c r="Z7" s="81"/>
      <c r="AA7" s="81"/>
      <c r="AB7" s="81"/>
      <c r="AC7" s="81"/>
      <c r="AD7" s="81"/>
    </row>
    <row r="8" spans="1:30" x14ac:dyDescent="0.25">
      <c r="A8" s="151" t="str">
        <f>'October 2024'!A8</f>
        <v>Last Updated: 1/9/2026 - Updated pension contribution for 2024 and 2026</v>
      </c>
      <c r="Q8" s="145"/>
      <c r="S8" s="143"/>
      <c r="T8" s="143"/>
      <c r="U8" s="143"/>
      <c r="V8" s="143"/>
    </row>
    <row r="9" spans="1:30" x14ac:dyDescent="0.25">
      <c r="X9" s="80" t="s">
        <v>133</v>
      </c>
    </row>
    <row r="10" spans="1:30" x14ac:dyDescent="0.25">
      <c r="C10" s="40"/>
      <c r="D10" s="44"/>
      <c r="E10" s="42"/>
      <c r="F10" s="44"/>
      <c r="G10" s="42"/>
      <c r="H10" s="45"/>
      <c r="I10" s="45"/>
      <c r="J10" s="45"/>
      <c r="K10" s="45"/>
      <c r="R10" s="148">
        <v>4</v>
      </c>
      <c r="S10" s="149">
        <f>R10+1</f>
        <v>5</v>
      </c>
      <c r="T10" s="149">
        <f t="shared" ref="T10:V10" si="0">S10+1</f>
        <v>6</v>
      </c>
      <c r="U10" s="149">
        <f t="shared" si="0"/>
        <v>7</v>
      </c>
      <c r="V10" s="149">
        <f t="shared" si="0"/>
        <v>8</v>
      </c>
    </row>
    <row r="11" spans="1:30" ht="27" thickBot="1" x14ac:dyDescent="0.3">
      <c r="B11" s="46" t="s">
        <v>3</v>
      </c>
      <c r="C11" s="46" t="s">
        <v>4</v>
      </c>
      <c r="D11" s="46" t="s">
        <v>5</v>
      </c>
      <c r="E11" s="47" t="s">
        <v>32</v>
      </c>
      <c r="F11" s="46" t="s">
        <v>7</v>
      </c>
      <c r="G11" s="46" t="s">
        <v>45</v>
      </c>
      <c r="H11" s="46" t="s">
        <v>46</v>
      </c>
      <c r="I11" s="46" t="s">
        <v>10</v>
      </c>
      <c r="J11" s="146" t="s">
        <v>115</v>
      </c>
      <c r="K11" s="146" t="s">
        <v>116</v>
      </c>
      <c r="L11" s="150" t="s">
        <v>117</v>
      </c>
      <c r="M11" s="150" t="s">
        <v>118</v>
      </c>
      <c r="O11" s="129" t="s">
        <v>3</v>
      </c>
      <c r="P11" s="129" t="s">
        <v>122</v>
      </c>
      <c r="Q11" s="129" t="s">
        <v>59</v>
      </c>
      <c r="R11" s="142" t="s">
        <v>10</v>
      </c>
      <c r="S11" s="129" t="s">
        <v>115</v>
      </c>
      <c r="T11" s="129" t="s">
        <v>116</v>
      </c>
      <c r="U11" s="129" t="s">
        <v>117</v>
      </c>
      <c r="V11" s="129" t="s">
        <v>118</v>
      </c>
      <c r="X11" s="80" t="s">
        <v>3</v>
      </c>
      <c r="Y11" s="80" t="s">
        <v>134</v>
      </c>
      <c r="Z11" s="83" t="s">
        <v>10</v>
      </c>
      <c r="AA11" s="83" t="s">
        <v>115</v>
      </c>
      <c r="AB11" s="83" t="s">
        <v>116</v>
      </c>
      <c r="AC11" s="83" t="s">
        <v>117</v>
      </c>
      <c r="AD11" s="83" t="s">
        <v>118</v>
      </c>
    </row>
    <row r="12" spans="1:30" x14ac:dyDescent="0.25">
      <c r="B12" s="50" t="s">
        <v>11</v>
      </c>
      <c r="C12" s="90" t="s">
        <v>12</v>
      </c>
      <c r="D12" s="52" t="s">
        <v>13</v>
      </c>
      <c r="E12" s="53" t="s">
        <v>29</v>
      </c>
      <c r="F12" s="52">
        <v>313</v>
      </c>
      <c r="G12" s="50">
        <v>6</v>
      </c>
      <c r="H12" s="52" t="s">
        <v>15</v>
      </c>
      <c r="I12" s="54">
        <f ca="1">R12</f>
        <v>40.076104039531039</v>
      </c>
      <c r="J12" s="54">
        <f t="shared" ref="J12:M12" ca="1" si="1">S12</f>
        <v>40.486165696496002</v>
      </c>
      <c r="K12" s="54">
        <f t="shared" ca="1" si="1"/>
        <v>40.900369390400009</v>
      </c>
      <c r="L12" s="54">
        <f t="shared" ca="1" si="1"/>
        <v>41.318756960000002</v>
      </c>
      <c r="M12" s="54">
        <f t="shared" ca="1" si="1"/>
        <v>42.155532099200002</v>
      </c>
      <c r="O12" s="129" t="str">
        <f>B12</f>
        <v>06460C</v>
      </c>
      <c r="P12" s="129" t="s">
        <v>123</v>
      </c>
      <c r="Q12" s="135" t="str">
        <f>C12</f>
        <v>01</v>
      </c>
      <c r="R12" s="136" cm="1">
        <f t="array" aca="1" ref="R12" ca="1">((VLOOKUP($O12,INDIRECT($Q$3),R10,0)+PensionOct2024)*INDIRECT($O$2))-PensionOct2024</f>
        <v>40.076104039531039</v>
      </c>
      <c r="S12" s="136" cm="1">
        <f t="array" aca="1" ref="S12" ca="1">((VLOOKUP($O12,INDIRECT($Q$3),S10,0)+PensionOct2024)*INDIRECT($O$2))-PensionOct2024</f>
        <v>40.486165696496002</v>
      </c>
      <c r="T12" s="136" cm="1">
        <f t="array" aca="1" ref="T12" ca="1">((VLOOKUP($O12,INDIRECT($Q$3),T10,0)+PensionOct2024)*INDIRECT($O$2))-PensionOct2024</f>
        <v>40.900369390400009</v>
      </c>
      <c r="U12" s="136" cm="1">
        <f t="array" aca="1" ref="U12" ca="1">((VLOOKUP($O12,INDIRECT($Q$3),U10,0)+PensionOct2024)*INDIRECT($O$2))-PensionOct2024</f>
        <v>41.318756960000002</v>
      </c>
      <c r="V12" s="136" cm="1">
        <f t="array" aca="1" ref="V12" ca="1">((VLOOKUP($O12,INDIRECT($Q$3),V10,0)+PensionOct2024)*INDIRECT($O$2))-PensionOct2024</f>
        <v>42.155532099200002</v>
      </c>
      <c r="X12" s="80" t="str">
        <f>B12</f>
        <v>06460C</v>
      </c>
      <c r="Y12" s="153" t="str">
        <f>C12</f>
        <v>01</v>
      </c>
      <c r="Z12" s="155">
        <f ca="1">ROUND(R12,3)</f>
        <v>40.076000000000001</v>
      </c>
      <c r="AA12" s="155">
        <f t="shared" ref="AA12:AD12" ca="1" si="2">ROUND(S12,3)</f>
        <v>40.485999999999997</v>
      </c>
      <c r="AB12" s="155">
        <f t="shared" ca="1" si="2"/>
        <v>40.9</v>
      </c>
      <c r="AC12" s="155">
        <f t="shared" ca="1" si="2"/>
        <v>41.319000000000003</v>
      </c>
      <c r="AD12" s="155">
        <f t="shared" ca="1" si="2"/>
        <v>42.155999999999999</v>
      </c>
    </row>
    <row r="13" spans="1:30" s="56" customFormat="1" x14ac:dyDescent="0.25">
      <c r="B13" s="61"/>
      <c r="C13" s="61"/>
      <c r="D13" s="61"/>
      <c r="E13" s="61"/>
      <c r="F13" s="61"/>
      <c r="G13" s="61"/>
      <c r="H13" s="57"/>
      <c r="I13" s="61"/>
      <c r="J13" s="61"/>
      <c r="K13" s="61"/>
      <c r="L13" s="61"/>
      <c r="O13" s="137"/>
      <c r="P13" s="137"/>
      <c r="Q13" s="137"/>
      <c r="R13" s="136"/>
      <c r="S13" s="156"/>
      <c r="T13" s="137"/>
      <c r="U13" s="137"/>
      <c r="V13" s="137"/>
      <c r="W13" s="139"/>
      <c r="X13" s="82"/>
      <c r="Y13" s="82"/>
      <c r="Z13" s="82"/>
      <c r="AA13" s="82"/>
      <c r="AB13" s="82"/>
      <c r="AC13" s="82"/>
      <c r="AD13" s="82"/>
    </row>
    <row r="14" spans="1:30" s="56" customFormat="1" x14ac:dyDescent="0.25">
      <c r="B14" s="61"/>
      <c r="C14" s="61"/>
      <c r="D14" s="61"/>
      <c r="E14" s="61"/>
      <c r="F14" s="61"/>
      <c r="G14" s="61"/>
      <c r="H14" s="58"/>
      <c r="I14" s="61"/>
      <c r="J14" s="61"/>
      <c r="K14" s="61"/>
      <c r="L14" s="61"/>
      <c r="O14" s="137"/>
      <c r="P14" s="137"/>
      <c r="Q14" s="137"/>
      <c r="R14" s="136"/>
      <c r="S14" s="137"/>
      <c r="T14" s="137"/>
      <c r="U14" s="137"/>
      <c r="V14" s="137"/>
      <c r="W14" s="139"/>
      <c r="X14" s="82"/>
      <c r="Y14" s="82"/>
      <c r="Z14" s="82"/>
      <c r="AA14" s="82"/>
      <c r="AB14" s="82"/>
      <c r="AC14" s="82"/>
      <c r="AD14" s="82"/>
    </row>
    <row r="15" spans="1:30" s="56" customFormat="1" x14ac:dyDescent="0.25">
      <c r="B15" s="59" t="str">
        <f>"Provided that in addition to the wage rate above, eligible employees will have "&amp;TEXT(R15,"$#,###.00")&amp;" per hour contributed"</f>
        <v>Provided that in addition to the wage rate above, eligible employees will have $.52 per hour contributed</v>
      </c>
      <c r="C15" s="61"/>
      <c r="D15" s="61"/>
      <c r="E15" s="61"/>
      <c r="F15" s="61"/>
      <c r="G15" s="61"/>
      <c r="H15" s="60"/>
      <c r="I15" s="61"/>
      <c r="J15" s="61"/>
      <c r="K15" s="61"/>
      <c r="L15" s="61"/>
      <c r="O15" s="137" t="s">
        <v>81</v>
      </c>
      <c r="P15" s="137"/>
      <c r="Q15" s="140" t="s">
        <v>108</v>
      </c>
      <c r="R15" s="136">
        <f>PensionOct2024</f>
        <v>0.52</v>
      </c>
      <c r="S15" s="144" t="s">
        <v>109</v>
      </c>
      <c r="T15" s="140"/>
      <c r="U15" s="140"/>
      <c r="V15" s="140"/>
      <c r="W15" s="141"/>
      <c r="X15" s="80"/>
      <c r="Y15" s="82"/>
      <c r="Z15" s="121"/>
      <c r="AA15" s="82"/>
      <c r="AB15" s="82"/>
      <c r="AC15" s="82"/>
      <c r="AD15" s="82"/>
    </row>
    <row r="16" spans="1:30" s="56" customFormat="1" x14ac:dyDescent="0.25">
      <c r="B16" s="61"/>
      <c r="C16" s="61" t="s">
        <v>17</v>
      </c>
      <c r="D16" s="61"/>
      <c r="E16" s="61"/>
      <c r="F16" s="61"/>
      <c r="G16" s="61"/>
      <c r="H16" s="60"/>
      <c r="I16" s="61"/>
      <c r="J16" s="61"/>
      <c r="K16" s="61"/>
      <c r="L16" s="61"/>
      <c r="O16" s="137"/>
      <c r="P16" s="137"/>
      <c r="Q16" s="137"/>
      <c r="R16" s="136"/>
      <c r="S16" s="137"/>
      <c r="T16" s="137"/>
      <c r="U16" s="137"/>
      <c r="V16" s="137"/>
      <c r="W16" s="139"/>
      <c r="X16" s="82"/>
      <c r="Y16" s="82"/>
      <c r="Z16" s="82"/>
      <c r="AA16" s="82"/>
      <c r="AB16" s="82"/>
      <c r="AC16" s="82"/>
      <c r="AD16" s="82"/>
    </row>
    <row r="17" spans="1:30" x14ac:dyDescent="0.25">
      <c r="B17" s="52"/>
      <c r="D17" s="53"/>
      <c r="E17" s="52"/>
      <c r="F17" s="53"/>
      <c r="G17" s="52"/>
      <c r="H17" s="54"/>
      <c r="I17" s="70"/>
      <c r="J17" s="70"/>
      <c r="K17" s="89"/>
      <c r="M17" s="49"/>
    </row>
    <row r="18" spans="1:30" x14ac:dyDescent="0.25">
      <c r="B18" s="71" t="s">
        <v>21</v>
      </c>
      <c r="C18" s="91"/>
      <c r="D18" s="91"/>
      <c r="E18" s="91"/>
      <c r="F18" s="91"/>
      <c r="G18" s="91"/>
      <c r="H18" s="91"/>
      <c r="I18" s="91"/>
      <c r="J18" s="91"/>
      <c r="K18" s="91"/>
      <c r="L18" s="91"/>
      <c r="M18" s="49"/>
    </row>
    <row r="19" spans="1:30" x14ac:dyDescent="0.25">
      <c r="B19" s="72" t="s">
        <v>22</v>
      </c>
      <c r="M19" s="49"/>
      <c r="X19" s="80" t="s">
        <v>135</v>
      </c>
    </row>
    <row r="20" spans="1:30" x14ac:dyDescent="0.25">
      <c r="O20" s="129" t="s">
        <v>75</v>
      </c>
      <c r="R20" s="142" t="s">
        <v>76</v>
      </c>
      <c r="X20" s="80" t="s">
        <v>75</v>
      </c>
    </row>
    <row r="21" spans="1:30" x14ac:dyDescent="0.25">
      <c r="C21" s="73">
        <f ca="1">R21</f>
        <v>0.35429679999999997</v>
      </c>
      <c r="D21" s="72" t="s">
        <v>23</v>
      </c>
      <c r="F21" s="72"/>
      <c r="J21" s="73"/>
      <c r="O21" s="129" t="s">
        <v>63</v>
      </c>
      <c r="R21" s="142" cm="1">
        <f t="array" aca="1" ref="R21" ca="1">VLOOKUP(O21,INDIRECT($Q$3),4,0)*INDIRECT($O$2)</f>
        <v>0.35429679999999997</v>
      </c>
      <c r="X21" s="80" t="str">
        <f>O21</f>
        <v>10th</v>
      </c>
      <c r="Z21" s="154">
        <f ca="1">ROUND(R21,3)</f>
        <v>0.35399999999999998</v>
      </c>
    </row>
    <row r="22" spans="1:30" x14ac:dyDescent="0.25">
      <c r="C22" s="73">
        <f t="shared" ref="C22:C24" ca="1" si="3">R22</f>
        <v>0.45645599999999997</v>
      </c>
      <c r="D22" s="72" t="s">
        <v>24</v>
      </c>
      <c r="F22" s="72"/>
      <c r="J22" s="73"/>
      <c r="O22" s="129" t="s">
        <v>64</v>
      </c>
      <c r="R22" s="142" cm="1">
        <f t="array" aca="1" ref="R22" ca="1">VLOOKUP(O22,INDIRECT($Q$3),4,0)*INDIRECT($O$2)</f>
        <v>0.45645599999999997</v>
      </c>
      <c r="X22" s="80" t="str">
        <f t="shared" ref="X22:X24" si="4">O22</f>
        <v>15th</v>
      </c>
      <c r="Z22" s="154">
        <f t="shared" ref="Z22:Z24" ca="1" si="5">ROUND(R22,3)</f>
        <v>0.45600000000000002</v>
      </c>
    </row>
    <row r="23" spans="1:30" x14ac:dyDescent="0.25">
      <c r="C23" s="73">
        <f t="shared" ca="1" si="3"/>
        <v>0.5368792</v>
      </c>
      <c r="D23" s="72" t="s">
        <v>25</v>
      </c>
      <c r="F23" s="72"/>
      <c r="J23" s="73"/>
      <c r="O23" s="129" t="s">
        <v>65</v>
      </c>
      <c r="R23" s="142" cm="1">
        <f t="array" aca="1" ref="R23" ca="1">VLOOKUP(O23,INDIRECT($Q$3),4,0)*INDIRECT($O$2)</f>
        <v>0.5368792</v>
      </c>
      <c r="X23" s="80" t="str">
        <f t="shared" si="4"/>
        <v>20th</v>
      </c>
      <c r="Z23" s="154">
        <f t="shared" ca="1" si="5"/>
        <v>0.53700000000000003</v>
      </c>
    </row>
    <row r="24" spans="1:30" x14ac:dyDescent="0.25">
      <c r="C24" s="73">
        <f t="shared" ca="1" si="3"/>
        <v>0.66294799999999998</v>
      </c>
      <c r="D24" s="72" t="s">
        <v>26</v>
      </c>
      <c r="F24" s="72"/>
      <c r="J24" s="73"/>
      <c r="O24" s="129" t="s">
        <v>66</v>
      </c>
      <c r="R24" s="142" cm="1">
        <f t="array" aca="1" ref="R24" ca="1">VLOOKUP(O24,INDIRECT($Q$3),4,0)*INDIRECT($O$2)</f>
        <v>0.66294799999999998</v>
      </c>
      <c r="X24" s="80" t="str">
        <f t="shared" si="4"/>
        <v>25th</v>
      </c>
      <c r="Z24" s="154">
        <f t="shared" ca="1" si="5"/>
        <v>0.66300000000000003</v>
      </c>
    </row>
    <row r="26" spans="1:30" x14ac:dyDescent="0.25">
      <c r="B26" s="92" t="s">
        <v>67</v>
      </c>
    </row>
    <row r="27" spans="1:30" x14ac:dyDescent="0.25">
      <c r="B27" s="41" t="s">
        <v>38</v>
      </c>
    </row>
    <row r="30" spans="1:30" x14ac:dyDescent="0.25">
      <c r="B30" s="93"/>
      <c r="C30" s="61"/>
    </row>
    <row r="31" spans="1:30" s="41" customFormat="1" ht="12.75" x14ac:dyDescent="0.2">
      <c r="A31" s="38"/>
      <c r="B31" s="61"/>
      <c r="M31" s="38"/>
      <c r="N31" s="38"/>
      <c r="O31" s="129"/>
      <c r="P31" s="129"/>
      <c r="Q31" s="129"/>
      <c r="R31" s="142"/>
      <c r="S31" s="143"/>
      <c r="T31" s="129"/>
      <c r="U31" s="129"/>
      <c r="V31" s="129"/>
      <c r="W31" s="132"/>
      <c r="X31" s="80"/>
      <c r="Y31" s="80"/>
      <c r="Z31" s="80"/>
      <c r="AA31" s="80"/>
      <c r="AB31" s="80"/>
      <c r="AC31" s="80"/>
      <c r="AD31" s="80"/>
    </row>
    <row r="32" spans="1:30" s="41" customFormat="1" ht="12.75" x14ac:dyDescent="0.2">
      <c r="A32" s="38"/>
      <c r="B32" s="93"/>
      <c r="C32" s="61"/>
      <c r="M32" s="38" t="s">
        <v>152</v>
      </c>
      <c r="N32" s="38"/>
      <c r="O32" s="129"/>
      <c r="P32" s="129"/>
      <c r="Q32" s="129"/>
      <c r="R32" s="142"/>
      <c r="S32" s="143"/>
      <c r="T32" s="129"/>
      <c r="U32" s="129"/>
      <c r="V32" s="129"/>
      <c r="W32" s="132"/>
      <c r="X32" s="80"/>
      <c r="Y32" s="80"/>
      <c r="Z32" s="80"/>
      <c r="AA32" s="80"/>
      <c r="AB32" s="80"/>
      <c r="AC32" s="80"/>
      <c r="AD32" s="80"/>
    </row>
    <row r="33" spans="19:19" ht="12.75" x14ac:dyDescent="0.2">
      <c r="S33" s="143"/>
    </row>
    <row r="34" spans="19:19" ht="12.75" x14ac:dyDescent="0.2">
      <c r="S34" s="143"/>
    </row>
    <row r="35" spans="19:19" ht="12.75" x14ac:dyDescent="0.2">
      <c r="S35" s="143"/>
    </row>
  </sheetData>
  <sheetProtection sheet="1" objects="1" scenarios="1"/>
  <pageMargins left="0.7" right="0.7" top="0.75" bottom="0.75" header="0.3" footer="0.3"/>
  <pageSetup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791A8-640C-4116-AE36-E14ADC3DB5F4}">
  <sheetPr>
    <tabColor theme="8"/>
  </sheetPr>
  <dimension ref="A1:AD32"/>
  <sheetViews>
    <sheetView showGridLines="0" tabSelected="1" workbookViewId="0">
      <selection activeCell="AF19" sqref="AF19"/>
    </sheetView>
  </sheetViews>
  <sheetFormatPr defaultColWidth="9.109375" defaultRowHeight="13.2" x14ac:dyDescent="0.25"/>
  <cols>
    <col min="1" max="1" width="2.5546875" style="38" customWidth="1"/>
    <col min="2" max="2" width="8.44140625" style="41" customWidth="1"/>
    <col min="3" max="3" width="9.5546875" style="41" customWidth="1"/>
    <col min="4" max="4" width="6.33203125" style="41" customWidth="1"/>
    <col min="5" max="5" width="9" style="41" bestFit="1" customWidth="1"/>
    <col min="6" max="6" width="4.6640625" style="41" hidden="1" customWidth="1"/>
    <col min="7" max="7" width="7.5546875" style="41" customWidth="1"/>
    <col min="8" max="8" width="8.44140625" style="41" customWidth="1"/>
    <col min="9" max="12" width="10.6640625" style="41" customWidth="1"/>
    <col min="13" max="13" width="10.6640625" style="38" customWidth="1"/>
    <col min="14" max="14" width="9.109375" style="38"/>
    <col min="15" max="15" width="15.88671875" style="129" hidden="1" customWidth="1"/>
    <col min="16" max="16" width="6.88671875" style="129" hidden="1" customWidth="1"/>
    <col min="17" max="17" width="14.5546875" style="129" hidden="1" customWidth="1"/>
    <col min="18" max="18" width="7.5546875" style="131" hidden="1" customWidth="1"/>
    <col min="19" max="19" width="9.33203125" style="129" hidden="1" customWidth="1"/>
    <col min="20" max="22" width="7.5546875" style="129" hidden="1" customWidth="1"/>
    <col min="23" max="23" width="15" style="132" hidden="1" customWidth="1"/>
    <col min="24" max="30" width="0" style="80" hidden="1" customWidth="1"/>
    <col min="31" max="16384" width="9.109375" style="38"/>
  </cols>
  <sheetData>
    <row r="1" spans="1:30" x14ac:dyDescent="0.25">
      <c r="A1" s="38" t="s">
        <v>150</v>
      </c>
    </row>
    <row r="2" spans="1:30" x14ac:dyDescent="0.25">
      <c r="A2" s="37" t="str">
        <f>'July 2025'!A2</f>
        <v>Appendix "A"</v>
      </c>
      <c r="O2" s="129" t="s">
        <v>142</v>
      </c>
      <c r="Q2" s="130">
        <v>1</v>
      </c>
    </row>
    <row r="3" spans="1:30" x14ac:dyDescent="0.25">
      <c r="A3" s="37" t="str">
        <f>'July 2025'!A3</f>
        <v>International Association of Machinist and Aerospace Workers, District Lodge 77, AFL-CIO (CMA)</v>
      </c>
      <c r="O3" s="129" t="s">
        <v>119</v>
      </c>
      <c r="Q3" s="129" t="s">
        <v>128</v>
      </c>
    </row>
    <row r="4" spans="1:30" s="41" customFormat="1" x14ac:dyDescent="0.25">
      <c r="A4" s="40" t="s">
        <v>146</v>
      </c>
      <c r="D4" s="42"/>
      <c r="E4" s="42"/>
      <c r="F4" s="42"/>
      <c r="G4" s="43"/>
      <c r="H4" s="43"/>
      <c r="I4" s="43"/>
      <c r="J4" s="43"/>
      <c r="K4" s="43"/>
      <c r="L4" s="43"/>
      <c r="M4" s="43"/>
      <c r="O4" s="133"/>
      <c r="P4" s="133"/>
      <c r="Q4" s="133"/>
      <c r="R4" s="131"/>
      <c r="S4" s="133"/>
      <c r="T4" s="133"/>
      <c r="U4" s="133"/>
      <c r="V4" s="133"/>
      <c r="W4" s="134"/>
      <c r="X4" s="81"/>
      <c r="Y4" s="81"/>
      <c r="Z4" s="81"/>
      <c r="AA4" s="81"/>
      <c r="AB4" s="81"/>
      <c r="AC4" s="81"/>
      <c r="AD4" s="81"/>
    </row>
    <row r="5" spans="1:30" s="41" customFormat="1" x14ac:dyDescent="0.25">
      <c r="A5" s="152"/>
      <c r="D5" s="42"/>
      <c r="E5" s="42"/>
      <c r="F5" s="42"/>
      <c r="G5" s="43"/>
      <c r="H5" s="43"/>
      <c r="I5" s="43"/>
      <c r="J5" s="43"/>
      <c r="K5" s="43"/>
      <c r="L5" s="43"/>
      <c r="M5" s="43"/>
      <c r="O5" s="133"/>
      <c r="P5" s="133"/>
      <c r="Q5" s="133"/>
      <c r="R5" s="131"/>
      <c r="S5" s="133"/>
      <c r="T5" s="133"/>
      <c r="U5" s="133"/>
      <c r="V5" s="133"/>
      <c r="W5" s="134"/>
      <c r="X5" s="81"/>
      <c r="Y5" s="81"/>
      <c r="Z5" s="81"/>
      <c r="AA5" s="81"/>
      <c r="AB5" s="81"/>
      <c r="AC5" s="81"/>
      <c r="AD5" s="81"/>
    </row>
    <row r="6" spans="1:30" s="41" customFormat="1" x14ac:dyDescent="0.25">
      <c r="A6" s="41" t="str">
        <f>"Reflects LIUNA Pension Fund contribution increase from "&amp;TEXT(PensionOct2024,"$#,##0.000")&amp;" to "&amp;TEXT(PensionOct2025,"$#,##0.000")&amp; " per hour"</f>
        <v>Reflects LIUNA Pension Fund contribution increase from $0.520 to $0.530 per hour</v>
      </c>
      <c r="D6" s="119"/>
      <c r="E6" s="42"/>
      <c r="F6" s="42"/>
      <c r="G6" s="43"/>
      <c r="H6" s="43"/>
      <c r="I6" s="43"/>
      <c r="O6" s="133"/>
      <c r="P6" s="133"/>
      <c r="Q6" s="133"/>
      <c r="R6" s="131"/>
      <c r="S6" s="133"/>
      <c r="T6" s="133"/>
      <c r="U6" s="133"/>
      <c r="V6" s="133"/>
      <c r="W6" s="134"/>
      <c r="X6" s="81"/>
      <c r="Y6" s="81"/>
      <c r="Z6" s="81"/>
      <c r="AA6" s="81"/>
      <c r="AB6" s="81"/>
      <c r="AC6" s="81"/>
      <c r="AD6" s="81"/>
    </row>
    <row r="7" spans="1:30" s="41" customFormat="1" x14ac:dyDescent="0.25">
      <c r="A7" s="41" t="str">
        <f>'July 2024'!A7</f>
        <v>Rates do not include pension contribution</v>
      </c>
      <c r="D7" s="119"/>
      <c r="E7" s="42"/>
      <c r="F7" s="42"/>
      <c r="G7" s="43"/>
      <c r="H7" s="43"/>
      <c r="I7" s="43"/>
      <c r="O7" s="133"/>
      <c r="P7" s="133"/>
      <c r="Q7" s="133"/>
      <c r="R7" s="131"/>
      <c r="S7" s="133"/>
      <c r="T7" s="133"/>
      <c r="U7" s="133"/>
      <c r="V7" s="133"/>
      <c r="W7" s="134"/>
      <c r="X7" s="81"/>
      <c r="Y7" s="81"/>
      <c r="Z7" s="81"/>
      <c r="AA7" s="81"/>
      <c r="AB7" s="81"/>
      <c r="AC7" s="81"/>
      <c r="AD7" s="81"/>
    </row>
    <row r="8" spans="1:30" x14ac:dyDescent="0.25">
      <c r="A8" s="151" t="str">
        <f>'July 2025'!A8</f>
        <v>Last Updated: 1/9/2026 - Updated pension contribution for 2024 and 2026</v>
      </c>
      <c r="Q8" s="145"/>
      <c r="R8" s="142"/>
      <c r="S8" s="143"/>
      <c r="T8" s="143"/>
      <c r="U8" s="143"/>
      <c r="V8" s="143"/>
    </row>
    <row r="9" spans="1:30" x14ac:dyDescent="0.25">
      <c r="R9" s="142"/>
      <c r="X9" s="80" t="s">
        <v>139</v>
      </c>
    </row>
    <row r="10" spans="1:30" x14ac:dyDescent="0.25">
      <c r="C10" s="40"/>
      <c r="D10" s="44"/>
      <c r="E10" s="42"/>
      <c r="F10" s="44"/>
      <c r="G10" s="42"/>
      <c r="H10" s="45"/>
      <c r="I10" s="45"/>
      <c r="J10" s="45"/>
      <c r="K10" s="45"/>
      <c r="R10" s="148">
        <v>4</v>
      </c>
      <c r="S10" s="149">
        <f>R10+1</f>
        <v>5</v>
      </c>
      <c r="T10" s="149">
        <f t="shared" ref="T10:V10" si="0">S10+1</f>
        <v>6</v>
      </c>
      <c r="U10" s="149">
        <f t="shared" si="0"/>
        <v>7</v>
      </c>
      <c r="V10" s="149">
        <f t="shared" si="0"/>
        <v>8</v>
      </c>
    </row>
    <row r="11" spans="1:30" ht="27" thickBot="1" x14ac:dyDescent="0.3">
      <c r="B11" s="46" t="s">
        <v>3</v>
      </c>
      <c r="C11" s="46" t="s">
        <v>4</v>
      </c>
      <c r="D11" s="46" t="s">
        <v>5</v>
      </c>
      <c r="E11" s="47" t="s">
        <v>32</v>
      </c>
      <c r="F11" s="46" t="s">
        <v>7</v>
      </c>
      <c r="G11" s="46" t="s">
        <v>45</v>
      </c>
      <c r="H11" s="46" t="s">
        <v>46</v>
      </c>
      <c r="I11" s="46" t="s">
        <v>10</v>
      </c>
      <c r="J11" s="146" t="s">
        <v>115</v>
      </c>
      <c r="K11" s="146" t="s">
        <v>116</v>
      </c>
      <c r="L11" s="150" t="s">
        <v>117</v>
      </c>
      <c r="M11" s="150" t="s">
        <v>118</v>
      </c>
      <c r="O11" s="129" t="s">
        <v>3</v>
      </c>
      <c r="P11" s="129" t="s">
        <v>122</v>
      </c>
      <c r="Q11" s="129" t="s">
        <v>59</v>
      </c>
      <c r="R11" s="131" t="s">
        <v>10</v>
      </c>
      <c r="S11" s="129" t="s">
        <v>115</v>
      </c>
      <c r="T11" s="129" t="s">
        <v>116</v>
      </c>
      <c r="U11" s="129" t="s">
        <v>117</v>
      </c>
      <c r="V11" s="129" t="s">
        <v>118</v>
      </c>
      <c r="X11" s="80" t="s">
        <v>3</v>
      </c>
      <c r="Y11" s="80" t="s">
        <v>134</v>
      </c>
      <c r="Z11" s="83" t="s">
        <v>10</v>
      </c>
      <c r="AA11" s="83" t="s">
        <v>115</v>
      </c>
      <c r="AB11" s="83" t="s">
        <v>116</v>
      </c>
      <c r="AC11" s="83" t="s">
        <v>117</v>
      </c>
      <c r="AD11" s="83" t="s">
        <v>118</v>
      </c>
    </row>
    <row r="12" spans="1:30" x14ac:dyDescent="0.25">
      <c r="B12" s="50" t="s">
        <v>11</v>
      </c>
      <c r="C12" s="90" t="s">
        <v>12</v>
      </c>
      <c r="D12" s="52" t="s">
        <v>13</v>
      </c>
      <c r="E12" s="53" t="s">
        <v>29</v>
      </c>
      <c r="F12" s="52">
        <v>313</v>
      </c>
      <c r="G12" s="50">
        <v>6</v>
      </c>
      <c r="H12" s="52" t="s">
        <v>15</v>
      </c>
      <c r="I12" s="54">
        <f ca="1">R12</f>
        <v>40.066104039531041</v>
      </c>
      <c r="J12" s="54">
        <f t="shared" ref="J12:M12" ca="1" si="1">S12</f>
        <v>40.476165696496004</v>
      </c>
      <c r="K12" s="54">
        <f t="shared" ca="1" si="1"/>
        <v>40.890369390400011</v>
      </c>
      <c r="L12" s="54">
        <f t="shared" ca="1" si="1"/>
        <v>41.308756960000004</v>
      </c>
      <c r="M12" s="54">
        <f t="shared" ca="1" si="1"/>
        <v>42.145532099200004</v>
      </c>
      <c r="O12" s="129" t="str">
        <f>B12</f>
        <v>06460C</v>
      </c>
      <c r="P12" s="129" t="s">
        <v>123</v>
      </c>
      <c r="Q12" s="135" t="str">
        <f>C12</f>
        <v>01</v>
      </c>
      <c r="R12" s="136" cm="1">
        <f t="array" aca="1" ref="R12" ca="1">((VLOOKUP($O12,INDIRECT($Q$3),R10,0)+PensionOct2024)*INDIRECT($O$2))-PensionOct2025</f>
        <v>40.066104039531041</v>
      </c>
      <c r="S12" s="136" cm="1">
        <f t="array" aca="1" ref="S12" ca="1">((VLOOKUP($O12,INDIRECT($Q$3),S10,0)+PensionOct2024)*INDIRECT($O$2))-PensionOct2025</f>
        <v>40.476165696496004</v>
      </c>
      <c r="T12" s="136" cm="1">
        <f t="array" aca="1" ref="T12" ca="1">((VLOOKUP($O12,INDIRECT($Q$3),T10,0)+PensionOct2024)*INDIRECT($O$2))-PensionOct2025</f>
        <v>40.890369390400011</v>
      </c>
      <c r="U12" s="136" cm="1">
        <f t="array" aca="1" ref="U12" ca="1">((VLOOKUP($O12,INDIRECT($Q$3),U10,0)+PensionOct2024)*INDIRECT($O$2))-PensionOct2025</f>
        <v>41.308756960000004</v>
      </c>
      <c r="V12" s="136" cm="1">
        <f t="array" aca="1" ref="V12" ca="1">((VLOOKUP($O12,INDIRECT($Q$3),V10,0)+PensionOct2024)*INDIRECT($O$2))-PensionOct2025</f>
        <v>42.145532099200004</v>
      </c>
      <c r="X12" s="80" t="str">
        <f>B12</f>
        <v>06460C</v>
      </c>
      <c r="Y12" s="153" t="str">
        <f>C12</f>
        <v>01</v>
      </c>
      <c r="Z12" s="155">
        <f ca="1">ROUND(R12,3)</f>
        <v>40.066000000000003</v>
      </c>
      <c r="AA12" s="155">
        <f t="shared" ref="AA12:AD12" ca="1" si="2">ROUND(S12,3)</f>
        <v>40.475999999999999</v>
      </c>
      <c r="AB12" s="155">
        <f t="shared" ca="1" si="2"/>
        <v>40.89</v>
      </c>
      <c r="AC12" s="155">
        <f t="shared" ca="1" si="2"/>
        <v>41.308999999999997</v>
      </c>
      <c r="AD12" s="155">
        <f t="shared" ca="1" si="2"/>
        <v>42.146000000000001</v>
      </c>
    </row>
    <row r="13" spans="1:30" s="56" customFormat="1" x14ac:dyDescent="0.25">
      <c r="B13" s="61"/>
      <c r="C13" s="61"/>
      <c r="D13" s="61"/>
      <c r="E13" s="61"/>
      <c r="F13" s="61"/>
      <c r="G13" s="61"/>
      <c r="H13" s="57"/>
      <c r="I13" s="61"/>
      <c r="J13" s="61"/>
      <c r="K13" s="61"/>
      <c r="L13" s="61"/>
      <c r="O13" s="137"/>
      <c r="P13" s="137"/>
      <c r="Q13" s="137"/>
      <c r="R13" s="138"/>
      <c r="S13" s="137"/>
      <c r="T13" s="137"/>
      <c r="U13" s="137"/>
      <c r="V13" s="137"/>
      <c r="W13" s="139"/>
      <c r="X13" s="82"/>
      <c r="Y13" s="82"/>
      <c r="Z13" s="82"/>
      <c r="AA13" s="82"/>
      <c r="AB13" s="82"/>
      <c r="AC13" s="82"/>
      <c r="AD13" s="82"/>
    </row>
    <row r="14" spans="1:30" s="56" customFormat="1" x14ac:dyDescent="0.25">
      <c r="B14" s="61"/>
      <c r="C14" s="61"/>
      <c r="D14" s="61"/>
      <c r="E14" s="61"/>
      <c r="F14" s="61"/>
      <c r="G14" s="61"/>
      <c r="H14" s="58"/>
      <c r="I14" s="61"/>
      <c r="J14" s="61"/>
      <c r="K14" s="61"/>
      <c r="L14" s="61"/>
      <c r="O14" s="137"/>
      <c r="P14" s="137"/>
      <c r="Q14" s="137"/>
      <c r="R14" s="138"/>
      <c r="S14" s="137"/>
      <c r="T14" s="137"/>
      <c r="U14" s="137"/>
      <c r="V14" s="137"/>
      <c r="W14" s="139"/>
      <c r="X14" s="82"/>
      <c r="Y14" s="82"/>
      <c r="Z14" s="82"/>
      <c r="AA14" s="82"/>
      <c r="AB14" s="82"/>
      <c r="AC14" s="82"/>
      <c r="AD14" s="82"/>
    </row>
    <row r="15" spans="1:30" s="56" customFormat="1" x14ac:dyDescent="0.25">
      <c r="B15" s="59" t="str">
        <f>"Provided that in addition to the wage rate above, eligible employees will have "&amp;TEXT(R15,"$#,###.00")&amp;" per hour contributed"</f>
        <v>Provided that in addition to the wage rate above, eligible employees will have $.53 per hour contributed</v>
      </c>
      <c r="C15" s="61"/>
      <c r="D15" s="61"/>
      <c r="E15" s="61"/>
      <c r="F15" s="61"/>
      <c r="G15" s="61"/>
      <c r="H15" s="60"/>
      <c r="I15" s="61"/>
      <c r="J15" s="61"/>
      <c r="K15" s="61"/>
      <c r="L15" s="61"/>
      <c r="O15" s="137" t="s">
        <v>81</v>
      </c>
      <c r="P15" s="137"/>
      <c r="Q15" s="140" t="s">
        <v>108</v>
      </c>
      <c r="R15" s="138">
        <v>0.53</v>
      </c>
      <c r="S15" s="144" t="s">
        <v>109</v>
      </c>
      <c r="T15" s="140"/>
      <c r="U15" s="140"/>
      <c r="V15" s="140"/>
      <c r="W15" s="141"/>
      <c r="X15" s="80"/>
      <c r="Y15" s="82"/>
      <c r="Z15" s="121"/>
      <c r="AA15" s="82"/>
      <c r="AB15" s="82"/>
      <c r="AC15" s="82"/>
      <c r="AD15" s="82"/>
    </row>
    <row r="16" spans="1:30" s="56" customFormat="1" x14ac:dyDescent="0.25">
      <c r="B16" s="61"/>
      <c r="C16" s="61" t="s">
        <v>17</v>
      </c>
      <c r="D16" s="61"/>
      <c r="E16" s="61"/>
      <c r="F16" s="61"/>
      <c r="G16" s="61"/>
      <c r="H16" s="60"/>
      <c r="I16" s="61"/>
      <c r="J16" s="61"/>
      <c r="K16" s="61"/>
      <c r="L16" s="61"/>
      <c r="O16" s="137"/>
      <c r="P16" s="137"/>
      <c r="Q16" s="137"/>
      <c r="R16" s="138"/>
      <c r="S16" s="137"/>
      <c r="T16" s="137"/>
      <c r="U16" s="137"/>
      <c r="V16" s="137"/>
      <c r="W16" s="139"/>
      <c r="X16" s="82"/>
      <c r="Y16" s="82"/>
      <c r="Z16" s="82"/>
      <c r="AA16" s="82"/>
      <c r="AB16" s="82"/>
      <c r="AC16" s="82"/>
      <c r="AD16" s="82"/>
    </row>
    <row r="17" spans="1:30" x14ac:dyDescent="0.25">
      <c r="B17" s="52"/>
      <c r="D17" s="53"/>
      <c r="E17" s="52"/>
      <c r="F17" s="53"/>
      <c r="G17" s="52"/>
      <c r="H17" s="54"/>
      <c r="I17" s="70"/>
      <c r="J17" s="70"/>
      <c r="K17" s="89"/>
      <c r="M17" s="49"/>
    </row>
    <row r="18" spans="1:30" x14ac:dyDescent="0.25">
      <c r="B18" s="71" t="s">
        <v>21</v>
      </c>
      <c r="C18" s="91"/>
      <c r="D18" s="91"/>
      <c r="E18" s="91"/>
      <c r="F18" s="91"/>
      <c r="G18" s="91"/>
      <c r="H18" s="91"/>
      <c r="I18" s="91"/>
      <c r="J18" s="91"/>
      <c r="K18" s="91"/>
      <c r="L18" s="91"/>
      <c r="M18" s="49"/>
    </row>
    <row r="19" spans="1:30" x14ac:dyDescent="0.25">
      <c r="B19" s="72" t="s">
        <v>22</v>
      </c>
      <c r="M19" s="49"/>
      <c r="X19" s="80" t="s">
        <v>135</v>
      </c>
    </row>
    <row r="20" spans="1:30" x14ac:dyDescent="0.25">
      <c r="O20" s="129" t="s">
        <v>75</v>
      </c>
      <c r="R20" s="131" t="s">
        <v>76</v>
      </c>
      <c r="X20" s="80" t="s">
        <v>75</v>
      </c>
    </row>
    <row r="21" spans="1:30" x14ac:dyDescent="0.25">
      <c r="C21" s="73">
        <f ca="1">R21</f>
        <v>0.35429679999999997</v>
      </c>
      <c r="D21" s="72" t="s">
        <v>23</v>
      </c>
      <c r="F21" s="72"/>
      <c r="J21" s="73"/>
      <c r="O21" s="129" t="s">
        <v>63</v>
      </c>
      <c r="R21" s="142" cm="1">
        <f t="array" aca="1" ref="R21" ca="1">VLOOKUP(O21,INDIRECT($Q$3),4,0)*INDIRECT($O$2)</f>
        <v>0.35429679999999997</v>
      </c>
      <c r="S21" s="143"/>
      <c r="X21" s="80" t="str">
        <f>O21</f>
        <v>10th</v>
      </c>
      <c r="Z21" s="154">
        <f ca="1">ROUND(R21,3)</f>
        <v>0.35399999999999998</v>
      </c>
    </row>
    <row r="22" spans="1:30" x14ac:dyDescent="0.25">
      <c r="C22" s="73">
        <f t="shared" ref="C22:C24" ca="1" si="3">R22</f>
        <v>0.45645599999999997</v>
      </c>
      <c r="D22" s="72" t="s">
        <v>24</v>
      </c>
      <c r="F22" s="72"/>
      <c r="J22" s="73"/>
      <c r="O22" s="129" t="s">
        <v>64</v>
      </c>
      <c r="R22" s="142" cm="1">
        <f t="array" aca="1" ref="R22" ca="1">VLOOKUP(O22,INDIRECT($Q$3),4,0)*INDIRECT($O$2)</f>
        <v>0.45645599999999997</v>
      </c>
      <c r="X22" s="80" t="str">
        <f t="shared" ref="X22:X24" si="4">O22</f>
        <v>15th</v>
      </c>
      <c r="Z22" s="154">
        <f t="shared" ref="Z22:Z24" ca="1" si="5">ROUND(R22,3)</f>
        <v>0.45600000000000002</v>
      </c>
    </row>
    <row r="23" spans="1:30" x14ac:dyDescent="0.25">
      <c r="C23" s="73">
        <f t="shared" ca="1" si="3"/>
        <v>0.5368792</v>
      </c>
      <c r="D23" s="72" t="s">
        <v>25</v>
      </c>
      <c r="F23" s="72"/>
      <c r="J23" s="73"/>
      <c r="O23" s="129" t="s">
        <v>65</v>
      </c>
      <c r="R23" s="142" cm="1">
        <f t="array" aca="1" ref="R23" ca="1">VLOOKUP(O23,INDIRECT($Q$3),4,0)*INDIRECT($O$2)</f>
        <v>0.5368792</v>
      </c>
      <c r="X23" s="80" t="str">
        <f t="shared" si="4"/>
        <v>20th</v>
      </c>
      <c r="Z23" s="154">
        <f t="shared" ca="1" si="5"/>
        <v>0.53700000000000003</v>
      </c>
    </row>
    <row r="24" spans="1:30" x14ac:dyDescent="0.25">
      <c r="C24" s="73">
        <f t="shared" ca="1" si="3"/>
        <v>0.66294799999999998</v>
      </c>
      <c r="D24" s="72" t="s">
        <v>26</v>
      </c>
      <c r="F24" s="72"/>
      <c r="J24" s="73"/>
      <c r="O24" s="129" t="s">
        <v>66</v>
      </c>
      <c r="R24" s="142" cm="1">
        <f t="array" aca="1" ref="R24" ca="1">VLOOKUP(O24,INDIRECT($Q$3),4,0)*INDIRECT($O$2)</f>
        <v>0.66294799999999998</v>
      </c>
      <c r="X24" s="80" t="str">
        <f t="shared" si="4"/>
        <v>25th</v>
      </c>
      <c r="Z24" s="154">
        <f t="shared" ca="1" si="5"/>
        <v>0.66300000000000003</v>
      </c>
    </row>
    <row r="26" spans="1:30" x14ac:dyDescent="0.25">
      <c r="B26" s="92" t="s">
        <v>67</v>
      </c>
    </row>
    <row r="27" spans="1:30" x14ac:dyDescent="0.25">
      <c r="B27" s="41" t="s">
        <v>38</v>
      </c>
    </row>
    <row r="29" spans="1:30" x14ac:dyDescent="0.25">
      <c r="R29" s="142"/>
    </row>
    <row r="30" spans="1:30" x14ac:dyDescent="0.25">
      <c r="B30" s="93"/>
      <c r="C30" s="61"/>
      <c r="R30" s="142"/>
    </row>
    <row r="31" spans="1:30" s="41" customFormat="1" x14ac:dyDescent="0.25">
      <c r="A31" s="38"/>
      <c r="B31" s="61"/>
      <c r="M31" s="38"/>
      <c r="N31" s="38"/>
      <c r="O31" s="129"/>
      <c r="P31" s="129"/>
      <c r="Q31" s="129"/>
      <c r="R31" s="142"/>
      <c r="S31" s="129"/>
      <c r="T31" s="129"/>
      <c r="U31" s="129"/>
      <c r="V31" s="129"/>
      <c r="W31" s="132"/>
      <c r="X31" s="80"/>
      <c r="Y31" s="80"/>
      <c r="Z31" s="80"/>
      <c r="AA31" s="80"/>
      <c r="AB31" s="80"/>
      <c r="AC31" s="80"/>
      <c r="AD31" s="80"/>
    </row>
    <row r="32" spans="1:30" s="41" customFormat="1" x14ac:dyDescent="0.25">
      <c r="A32" s="38"/>
      <c r="B32" s="93"/>
      <c r="C32" s="61"/>
      <c r="M32" s="38" t="s">
        <v>152</v>
      </c>
      <c r="N32" s="38"/>
      <c r="O32" s="129"/>
      <c r="P32" s="129"/>
      <c r="Q32" s="129"/>
      <c r="R32" s="131"/>
      <c r="S32" s="129"/>
      <c r="T32" s="129"/>
      <c r="U32" s="129"/>
      <c r="V32" s="129"/>
      <c r="W32" s="132"/>
      <c r="X32" s="80"/>
      <c r="Y32" s="80"/>
      <c r="Z32" s="80"/>
      <c r="AA32" s="80"/>
      <c r="AB32" s="80"/>
      <c r="AC32" s="80"/>
      <c r="AD32" s="80"/>
    </row>
  </sheetData>
  <sheetProtection sheet="1" objects="1" scenarios="1"/>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4"/>
  <sheetViews>
    <sheetView topLeftCell="A13" workbookViewId="0">
      <selection activeCell="H7" sqref="H7"/>
    </sheetView>
  </sheetViews>
  <sheetFormatPr defaultColWidth="9.109375" defaultRowHeight="13.2" x14ac:dyDescent="0.25"/>
  <cols>
    <col min="1" max="1" width="2.88671875" style="38" customWidth="1"/>
    <col min="2" max="2" width="9.109375" style="38"/>
    <col min="3" max="3" width="8.109375" style="38" customWidth="1"/>
    <col min="4" max="4" width="10.88671875" style="38" customWidth="1"/>
    <col min="5" max="5" width="12" style="38" customWidth="1"/>
    <col min="6" max="6" width="4.5546875" style="38" hidden="1" customWidth="1"/>
    <col min="7" max="7" width="6.33203125" style="38" customWidth="1"/>
    <col min="8" max="8" width="8.44140625" style="38" customWidth="1"/>
    <col min="9" max="9" width="9.33203125" style="38" customWidth="1"/>
    <col min="10" max="10" width="10.5546875" style="38" customWidth="1"/>
    <col min="11" max="11" width="8.109375" style="38" customWidth="1"/>
    <col min="12" max="13" width="6.6640625" style="38" bestFit="1" customWidth="1"/>
    <col min="14" max="16" width="9.109375" style="38"/>
    <col min="17" max="17" width="9.109375" style="39"/>
    <col min="18" max="16384" width="9.109375" style="38"/>
  </cols>
  <sheetData>
    <row r="1" spans="1:17" x14ac:dyDescent="0.25">
      <c r="A1" s="37" t="s">
        <v>31</v>
      </c>
    </row>
    <row r="2" spans="1:17" x14ac:dyDescent="0.25">
      <c r="A2" s="37" t="s">
        <v>30</v>
      </c>
    </row>
    <row r="3" spans="1:17" s="41" customFormat="1" x14ac:dyDescent="0.25">
      <c r="A3" s="40" t="s">
        <v>0</v>
      </c>
      <c r="D3" s="42"/>
      <c r="E3" s="42"/>
      <c r="F3" s="42"/>
      <c r="G3" s="43"/>
      <c r="H3" s="43"/>
      <c r="I3" s="43"/>
      <c r="J3" s="43"/>
      <c r="K3" s="43"/>
      <c r="L3" s="43"/>
      <c r="M3" s="43"/>
      <c r="Q3" s="39"/>
    </row>
    <row r="4" spans="1:17" s="41" customFormat="1" x14ac:dyDescent="0.25">
      <c r="A4" s="40" t="s">
        <v>27</v>
      </c>
      <c r="D4" s="42"/>
      <c r="E4" s="42"/>
      <c r="F4" s="42"/>
      <c r="G4" s="43"/>
      <c r="H4" s="43"/>
      <c r="I4" s="43"/>
      <c r="Q4" s="39"/>
    </row>
    <row r="5" spans="1:17" x14ac:dyDescent="0.25">
      <c r="A5" s="37"/>
    </row>
    <row r="6" spans="1:17" x14ac:dyDescent="0.25">
      <c r="A6" s="37" t="s">
        <v>2</v>
      </c>
    </row>
    <row r="7" spans="1:17" x14ac:dyDescent="0.25">
      <c r="C7" s="40"/>
      <c r="D7" s="44"/>
      <c r="E7" s="42"/>
      <c r="F7" s="44"/>
      <c r="G7" s="42"/>
      <c r="H7" s="45"/>
      <c r="I7" s="45"/>
      <c r="J7" s="45"/>
      <c r="K7" s="45"/>
    </row>
    <row r="8" spans="1:17" ht="27" thickBot="1" x14ac:dyDescent="0.3">
      <c r="B8" s="46" t="s">
        <v>3</v>
      </c>
      <c r="C8" s="46" t="s">
        <v>4</v>
      </c>
      <c r="D8" s="46" t="s">
        <v>5</v>
      </c>
      <c r="E8" s="47" t="s">
        <v>32</v>
      </c>
      <c r="F8" s="46" t="s">
        <v>7</v>
      </c>
      <c r="G8" s="46" t="s">
        <v>45</v>
      </c>
      <c r="H8" s="46" t="s">
        <v>46</v>
      </c>
      <c r="I8" s="46" t="s">
        <v>10</v>
      </c>
      <c r="J8" s="48"/>
      <c r="K8" s="48"/>
      <c r="L8" s="49"/>
    </row>
    <row r="9" spans="1:17" x14ac:dyDescent="0.25">
      <c r="B9" s="50" t="s">
        <v>11</v>
      </c>
      <c r="C9" s="51" t="s">
        <v>12</v>
      </c>
      <c r="D9" s="52" t="s">
        <v>13</v>
      </c>
      <c r="E9" s="53" t="s">
        <v>29</v>
      </c>
      <c r="F9" s="52">
        <v>313</v>
      </c>
      <c r="G9" s="50">
        <v>6</v>
      </c>
      <c r="H9" s="52" t="s">
        <v>15</v>
      </c>
      <c r="I9" s="54">
        <f>((('July 2017'!H7+0.4)*1.0245)+0.01+0.07)-0.4</f>
        <v>31.807351847499987</v>
      </c>
      <c r="Q9" s="55"/>
    </row>
    <row r="10" spans="1:17" s="56" customFormat="1" x14ac:dyDescent="0.25">
      <c r="H10" s="57"/>
      <c r="Q10" s="55"/>
    </row>
    <row r="11" spans="1:17" s="56" customFormat="1" x14ac:dyDescent="0.25">
      <c r="H11" s="58"/>
      <c r="Q11" s="55"/>
    </row>
    <row r="12" spans="1:17" s="56" customFormat="1" x14ac:dyDescent="0.25">
      <c r="B12" s="59" t="s">
        <v>16</v>
      </c>
      <c r="H12" s="60"/>
      <c r="Q12" s="55"/>
    </row>
    <row r="13" spans="1:17" s="56" customFormat="1" x14ac:dyDescent="0.25">
      <c r="C13" s="61" t="s">
        <v>17</v>
      </c>
      <c r="H13" s="60"/>
      <c r="Q13" s="55"/>
    </row>
    <row r="14" spans="1:17" s="56" customFormat="1" x14ac:dyDescent="0.25">
      <c r="H14" s="60"/>
      <c r="M14" s="62"/>
      <c r="Q14" s="55"/>
    </row>
    <row r="15" spans="1:17" x14ac:dyDescent="0.25">
      <c r="B15" s="63" t="s">
        <v>35</v>
      </c>
      <c r="C15" s="64"/>
      <c r="D15" s="65"/>
      <c r="E15" s="66"/>
      <c r="F15" s="65"/>
      <c r="G15" s="66"/>
      <c r="H15" s="67"/>
      <c r="I15" s="66"/>
      <c r="J15" s="66"/>
      <c r="K15" s="68"/>
      <c r="L15" s="68"/>
      <c r="M15" s="49"/>
    </row>
    <row r="16" spans="1:17" x14ac:dyDescent="0.25">
      <c r="B16" s="52"/>
      <c r="C16" s="69" t="s">
        <v>36</v>
      </c>
      <c r="D16" s="53"/>
      <c r="E16" s="52"/>
      <c r="F16" s="53"/>
      <c r="G16" s="52"/>
      <c r="H16" s="54"/>
      <c r="I16" s="70"/>
      <c r="J16" s="70"/>
      <c r="K16" s="49"/>
      <c r="M16" s="49"/>
    </row>
    <row r="17" spans="2:17" x14ac:dyDescent="0.25">
      <c r="B17" s="52"/>
      <c r="C17" s="38" t="s">
        <v>33</v>
      </c>
      <c r="D17" s="53"/>
      <c r="E17" s="52"/>
      <c r="F17" s="53"/>
      <c r="G17" s="52"/>
      <c r="H17" s="54"/>
      <c r="I17" s="70"/>
      <c r="J17" s="70"/>
      <c r="K17" s="49"/>
      <c r="M17" s="49"/>
    </row>
    <row r="18" spans="2:17" x14ac:dyDescent="0.25">
      <c r="B18" s="52"/>
      <c r="C18" s="38" t="s">
        <v>34</v>
      </c>
      <c r="D18" s="53"/>
      <c r="E18" s="52"/>
      <c r="F18" s="53"/>
      <c r="G18" s="52"/>
      <c r="H18" s="54"/>
      <c r="I18" s="70"/>
      <c r="J18" s="70"/>
      <c r="K18" s="49"/>
      <c r="M18" s="49"/>
    </row>
    <row r="19" spans="2:17" x14ac:dyDescent="0.25">
      <c r="B19" s="52"/>
      <c r="C19" s="69"/>
      <c r="D19" s="53"/>
      <c r="E19" s="52"/>
      <c r="F19" s="53"/>
      <c r="G19" s="52"/>
      <c r="H19" s="54"/>
      <c r="I19" s="70"/>
      <c r="J19" s="70"/>
      <c r="K19" s="49"/>
      <c r="M19" s="49"/>
    </row>
    <row r="20" spans="2:17" x14ac:dyDescent="0.25">
      <c r="B20" s="71" t="s">
        <v>21</v>
      </c>
      <c r="C20" s="68"/>
      <c r="D20" s="68"/>
      <c r="E20" s="68"/>
      <c r="F20" s="68"/>
      <c r="G20" s="68"/>
      <c r="H20" s="68"/>
      <c r="I20" s="68"/>
      <c r="J20" s="68"/>
      <c r="K20" s="68"/>
      <c r="L20" s="68"/>
      <c r="M20" s="49"/>
    </row>
    <row r="21" spans="2:17" x14ac:dyDescent="0.25">
      <c r="B21" s="72" t="s">
        <v>22</v>
      </c>
    </row>
    <row r="23" spans="2:17" x14ac:dyDescent="0.25">
      <c r="C23" s="73">
        <f>'July 2017'!C20+0.04</f>
        <v>0.24634939357852148</v>
      </c>
      <c r="D23" s="72" t="s">
        <v>23</v>
      </c>
      <c r="F23" s="72"/>
      <c r="J23" s="74"/>
    </row>
    <row r="24" spans="2:17" x14ac:dyDescent="0.25">
      <c r="C24" s="73">
        <f>'July 2017'!C21+0.03</f>
        <v>0.30151235997173875</v>
      </c>
      <c r="D24" s="72" t="s">
        <v>24</v>
      </c>
      <c r="F24" s="72"/>
      <c r="J24" s="74"/>
    </row>
    <row r="25" spans="2:17" x14ac:dyDescent="0.25">
      <c r="C25" s="73">
        <f>'July 2017'!C22+0.03</f>
        <v>0.40167025276131352</v>
      </c>
      <c r="D25" s="72" t="s">
        <v>25</v>
      </c>
      <c r="F25" s="72"/>
      <c r="J25" s="74"/>
    </row>
    <row r="26" spans="2:17" x14ac:dyDescent="0.25">
      <c r="C26" s="73">
        <f>'July 2017'!C23+0.03</f>
        <v>0.49700125915139071</v>
      </c>
      <c r="D26" s="72" t="s">
        <v>26</v>
      </c>
      <c r="F26" s="72"/>
      <c r="J26" s="74"/>
    </row>
    <row r="28" spans="2:17" s="41" customFormat="1" x14ac:dyDescent="0.25">
      <c r="B28" s="92" t="s">
        <v>67</v>
      </c>
      <c r="Q28" s="39"/>
    </row>
    <row r="29" spans="2:17" s="41" customFormat="1" x14ac:dyDescent="0.25">
      <c r="B29" s="41" t="s">
        <v>38</v>
      </c>
      <c r="Q29" s="39"/>
    </row>
    <row r="32" spans="2:17" ht="15.6" x14ac:dyDescent="0.25">
      <c r="B32" s="75"/>
      <c r="C32" s="56"/>
    </row>
    <row r="33" spans="2:3" x14ac:dyDescent="0.25">
      <c r="B33" s="56"/>
    </row>
    <row r="34" spans="2:3" ht="15.6" x14ac:dyDescent="0.25">
      <c r="B34" s="75"/>
      <c r="C34" s="56"/>
    </row>
  </sheetData>
  <pageMargins left="0.75" right="0.75" top="1" bottom="1" header="0.5" footer="0.5"/>
  <pageSetup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9D02D-58B5-40B9-8C11-6DC86807FB79}">
  <dimension ref="A1:AD32"/>
  <sheetViews>
    <sheetView showGridLines="0" workbookViewId="0">
      <selection activeCell="AE24" sqref="AE24"/>
    </sheetView>
  </sheetViews>
  <sheetFormatPr defaultColWidth="9.109375" defaultRowHeight="13.2" x14ac:dyDescent="0.25"/>
  <cols>
    <col min="1" max="1" width="2.5546875" style="38" customWidth="1"/>
    <col min="2" max="2" width="8.44140625" style="41" customWidth="1"/>
    <col min="3" max="3" width="9.5546875" style="41" customWidth="1"/>
    <col min="4" max="4" width="6.33203125" style="41" customWidth="1"/>
    <col min="5" max="5" width="9" style="41" bestFit="1" customWidth="1"/>
    <col min="6" max="6" width="4.6640625" style="41" hidden="1" customWidth="1"/>
    <col min="7" max="7" width="7.5546875" style="41" customWidth="1"/>
    <col min="8" max="8" width="8.44140625" style="41" customWidth="1"/>
    <col min="9" max="12" width="10.6640625" style="41" customWidth="1"/>
    <col min="13" max="13" width="10.6640625" style="38" customWidth="1"/>
    <col min="14" max="14" width="9.109375" style="38"/>
    <col min="15" max="15" width="15.88671875" style="129" hidden="1" customWidth="1"/>
    <col min="16" max="16" width="6.88671875" style="129" hidden="1" customWidth="1"/>
    <col min="17" max="17" width="14.5546875" style="129" hidden="1" customWidth="1"/>
    <col min="18" max="18" width="7.5546875" style="131" hidden="1" customWidth="1"/>
    <col min="19" max="19" width="9.33203125" style="129" hidden="1" customWidth="1"/>
    <col min="20" max="22" width="7.5546875" style="129" hidden="1" customWidth="1"/>
    <col min="23" max="23" width="15" style="132" hidden="1" customWidth="1"/>
    <col min="24" max="30" width="0" style="80" hidden="1" customWidth="1"/>
    <col min="31" max="16384" width="9.109375" style="38"/>
  </cols>
  <sheetData>
    <row r="1" spans="1:30" x14ac:dyDescent="0.25">
      <c r="A1" s="38" t="s">
        <v>150</v>
      </c>
    </row>
    <row r="2" spans="1:30" x14ac:dyDescent="0.25">
      <c r="A2" s="37" t="str">
        <f>'July 2025'!A2</f>
        <v>Appendix "A"</v>
      </c>
      <c r="O2" s="129" t="s">
        <v>127</v>
      </c>
      <c r="Q2" s="130">
        <v>1.04</v>
      </c>
    </row>
    <row r="3" spans="1:30" x14ac:dyDescent="0.25">
      <c r="A3" s="37" t="str">
        <f>'July 2025'!A3</f>
        <v>International Association of Machinist and Aerospace Workers, District Lodge 77, AFL-CIO (CMA)</v>
      </c>
      <c r="O3" s="129" t="s">
        <v>119</v>
      </c>
      <c r="Q3" s="129" t="s">
        <v>143</v>
      </c>
    </row>
    <row r="4" spans="1:30" s="41" customFormat="1" x14ac:dyDescent="0.25">
      <c r="A4" s="40" t="s">
        <v>132</v>
      </c>
      <c r="D4" s="42"/>
      <c r="E4" s="42"/>
      <c r="F4" s="42"/>
      <c r="G4" s="43"/>
      <c r="H4" s="43"/>
      <c r="I4" s="43"/>
      <c r="J4" s="43"/>
      <c r="K4" s="43"/>
      <c r="L4" s="43"/>
      <c r="M4" s="43"/>
      <c r="O4" s="133"/>
      <c r="P4" s="133"/>
      <c r="Q4" s="133"/>
      <c r="R4" s="131"/>
      <c r="S4" s="133"/>
      <c r="T4" s="133"/>
      <c r="U4" s="133"/>
      <c r="V4" s="133"/>
      <c r="W4" s="134"/>
      <c r="X4" s="81"/>
      <c r="Y4" s="81"/>
      <c r="Z4" s="81"/>
      <c r="AA4" s="81"/>
      <c r="AB4" s="81"/>
      <c r="AC4" s="81"/>
      <c r="AD4" s="81"/>
    </row>
    <row r="5" spans="1:30" s="41" customFormat="1" x14ac:dyDescent="0.25">
      <c r="A5" s="152" t="str" cm="1">
        <f t="array" aca="1" ref="A5" ca="1">"COLA Increase: "&amp;TEXT(INDIRECT(O2)-1,"#.0%")</f>
        <v>COLA Increase: 4.0%</v>
      </c>
      <c r="D5" s="42"/>
      <c r="E5" s="42"/>
      <c r="F5" s="42"/>
      <c r="G5" s="43"/>
      <c r="H5" s="43"/>
      <c r="I5" s="43"/>
      <c r="J5" s="43"/>
      <c r="K5" s="43"/>
      <c r="L5" s="43"/>
      <c r="M5" s="43"/>
      <c r="O5" s="133"/>
      <c r="P5" s="133"/>
      <c r="Q5" s="133"/>
      <c r="R5" s="131"/>
      <c r="S5" s="133"/>
      <c r="T5" s="133"/>
      <c r="U5" s="133"/>
      <c r="V5" s="133"/>
      <c r="W5" s="134"/>
      <c r="X5" s="81"/>
      <c r="Y5" s="81"/>
      <c r="Z5" s="81"/>
      <c r="AA5" s="81"/>
      <c r="AB5" s="81"/>
      <c r="AC5" s="81"/>
      <c r="AD5" s="81"/>
    </row>
    <row r="6" spans="1:30" s="41" customFormat="1" x14ac:dyDescent="0.25">
      <c r="A6" s="41" t="str">
        <f>"Reflects LIUNA Pension Fund contribution of "&amp;TEXT(PensionOct2025,"$#,##0.000")</f>
        <v>Reflects LIUNA Pension Fund contribution of $0.530</v>
      </c>
      <c r="D6" s="119"/>
      <c r="E6" s="42"/>
      <c r="F6" s="42"/>
      <c r="G6" s="43"/>
      <c r="H6" s="43"/>
      <c r="I6" s="43"/>
      <c r="O6" s="133"/>
      <c r="P6" s="133"/>
      <c r="Q6" s="133"/>
      <c r="R6" s="131"/>
      <c r="S6" s="133"/>
      <c r="T6" s="133"/>
      <c r="U6" s="133"/>
      <c r="V6" s="133"/>
      <c r="W6" s="134"/>
      <c r="X6" s="81"/>
      <c r="Y6" s="81"/>
      <c r="Z6" s="81"/>
      <c r="AA6" s="81"/>
      <c r="AB6" s="81"/>
      <c r="AC6" s="81"/>
      <c r="AD6" s="81"/>
    </row>
    <row r="7" spans="1:30" s="41" customFormat="1" x14ac:dyDescent="0.25">
      <c r="A7" s="41" t="str">
        <f>'July 2024'!A7</f>
        <v>Rates do not include pension contribution</v>
      </c>
      <c r="D7" s="119"/>
      <c r="E7" s="42"/>
      <c r="F7" s="42"/>
      <c r="G7" s="43"/>
      <c r="H7" s="43"/>
      <c r="I7" s="43"/>
      <c r="O7" s="133"/>
      <c r="P7" s="133"/>
      <c r="Q7" s="133"/>
      <c r="R7" s="131"/>
      <c r="S7" s="133"/>
      <c r="T7" s="133"/>
      <c r="U7" s="133"/>
      <c r="V7" s="133"/>
      <c r="W7" s="134"/>
      <c r="X7" s="81"/>
      <c r="Y7" s="81"/>
      <c r="Z7" s="81"/>
      <c r="AA7" s="81"/>
      <c r="AB7" s="81"/>
      <c r="AC7" s="81"/>
      <c r="AD7" s="81"/>
    </row>
    <row r="8" spans="1:30" x14ac:dyDescent="0.25">
      <c r="A8" s="151" t="str">
        <f>'July 2025'!A8</f>
        <v>Last Updated: 1/9/2026 - Updated pension contribution for 2024 and 2026</v>
      </c>
      <c r="Q8" s="145"/>
      <c r="R8" s="142"/>
      <c r="S8" s="143"/>
      <c r="T8" s="143"/>
      <c r="U8" s="143"/>
      <c r="V8" s="143"/>
    </row>
    <row r="9" spans="1:30" x14ac:dyDescent="0.25">
      <c r="R9" s="142"/>
      <c r="X9" s="80" t="s">
        <v>139</v>
      </c>
    </row>
    <row r="10" spans="1:30" x14ac:dyDescent="0.25">
      <c r="C10" s="40"/>
      <c r="D10" s="44"/>
      <c r="E10" s="42"/>
      <c r="F10" s="44"/>
      <c r="G10" s="42"/>
      <c r="H10" s="45"/>
      <c r="I10" s="45"/>
      <c r="J10" s="45"/>
      <c r="K10" s="45"/>
      <c r="R10" s="148">
        <v>4</v>
      </c>
      <c r="S10" s="149">
        <f>R10+1</f>
        <v>5</v>
      </c>
      <c r="T10" s="149">
        <f t="shared" ref="T10:V10" si="0">S10+1</f>
        <v>6</v>
      </c>
      <c r="U10" s="149">
        <f t="shared" si="0"/>
        <v>7</v>
      </c>
      <c r="V10" s="149">
        <f t="shared" si="0"/>
        <v>8</v>
      </c>
    </row>
    <row r="11" spans="1:30" ht="27" thickBot="1" x14ac:dyDescent="0.3">
      <c r="B11" s="46" t="s">
        <v>3</v>
      </c>
      <c r="C11" s="46" t="s">
        <v>4</v>
      </c>
      <c r="D11" s="46" t="s">
        <v>5</v>
      </c>
      <c r="E11" s="47" t="s">
        <v>32</v>
      </c>
      <c r="F11" s="46" t="s">
        <v>7</v>
      </c>
      <c r="G11" s="46" t="s">
        <v>45</v>
      </c>
      <c r="H11" s="46" t="s">
        <v>46</v>
      </c>
      <c r="I11" s="46" t="s">
        <v>10</v>
      </c>
      <c r="J11" s="146" t="s">
        <v>115</v>
      </c>
      <c r="K11" s="146" t="s">
        <v>116</v>
      </c>
      <c r="L11" s="150" t="s">
        <v>117</v>
      </c>
      <c r="M11" s="150" t="s">
        <v>118</v>
      </c>
      <c r="O11" s="129" t="s">
        <v>3</v>
      </c>
      <c r="P11" s="129" t="s">
        <v>122</v>
      </c>
      <c r="Q11" s="129" t="s">
        <v>59</v>
      </c>
      <c r="R11" s="131" t="s">
        <v>10</v>
      </c>
      <c r="S11" s="129" t="s">
        <v>115</v>
      </c>
      <c r="T11" s="129" t="s">
        <v>116</v>
      </c>
      <c r="U11" s="129" t="s">
        <v>117</v>
      </c>
      <c r="V11" s="129" t="s">
        <v>118</v>
      </c>
      <c r="X11" s="80" t="s">
        <v>3</v>
      </c>
      <c r="Y11" s="80" t="s">
        <v>134</v>
      </c>
      <c r="Z11" s="83" t="s">
        <v>10</v>
      </c>
      <c r="AA11" s="83" t="s">
        <v>115</v>
      </c>
      <c r="AB11" s="83" t="s">
        <v>116</v>
      </c>
      <c r="AC11" s="83" t="s">
        <v>117</v>
      </c>
      <c r="AD11" s="83" t="s">
        <v>118</v>
      </c>
    </row>
    <row r="12" spans="1:30" x14ac:dyDescent="0.25">
      <c r="B12" s="50" t="s">
        <v>11</v>
      </c>
      <c r="C12" s="90" t="s">
        <v>12</v>
      </c>
      <c r="D12" s="52" t="s">
        <v>13</v>
      </c>
      <c r="E12" s="53" t="s">
        <v>29</v>
      </c>
      <c r="F12" s="52">
        <v>313</v>
      </c>
      <c r="G12" s="50">
        <v>6</v>
      </c>
      <c r="H12" s="52" t="s">
        <v>15</v>
      </c>
      <c r="I12" s="54">
        <f ca="1">R12</f>
        <v>41.689948201112287</v>
      </c>
      <c r="J12" s="54">
        <f t="shared" ref="J12:M12" ca="1" si="1">S12</f>
        <v>42.116412324355842</v>
      </c>
      <c r="K12" s="54">
        <f t="shared" ca="1" si="1"/>
        <v>42.547184166016009</v>
      </c>
      <c r="L12" s="54">
        <f t="shared" ca="1" si="1"/>
        <v>42.982307238400004</v>
      </c>
      <c r="M12" s="54">
        <f t="shared" ca="1" si="1"/>
        <v>43.852553383168008</v>
      </c>
      <c r="O12" s="129" t="str">
        <f>B12</f>
        <v>06460C</v>
      </c>
      <c r="P12" s="129" t="s">
        <v>123</v>
      </c>
      <c r="Q12" s="135" t="str">
        <f>C12</f>
        <v>01</v>
      </c>
      <c r="R12" s="136" cm="1">
        <f t="array" aca="1" ref="R12" ca="1">((VLOOKUP($O12,INDIRECT($Q$3),R10,0)+PensionOct2025)*INDIRECT($O$2))-Pension2026</f>
        <v>41.689948201112287</v>
      </c>
      <c r="S12" s="136" cm="1">
        <f t="array" aca="1" ref="S12" ca="1">((VLOOKUP($O12,INDIRECT($Q$3),S10,0)+PensionOct2025)*INDIRECT($O$2))-Pension2026</f>
        <v>42.116412324355842</v>
      </c>
      <c r="T12" s="136" cm="1">
        <f t="array" aca="1" ref="T12" ca="1">((VLOOKUP($O12,INDIRECT($Q$3),T10,0)+PensionOct2025)*INDIRECT($O$2))-Pension2026</f>
        <v>42.547184166016009</v>
      </c>
      <c r="U12" s="136" cm="1">
        <f t="array" aca="1" ref="U12" ca="1">((VLOOKUP($O12,INDIRECT($Q$3),U10,0)+PensionOct2025)*INDIRECT($O$2))-Pension2026</f>
        <v>42.982307238400004</v>
      </c>
      <c r="V12" s="136" cm="1">
        <f t="array" aca="1" ref="V12" ca="1">((VLOOKUP($O12,INDIRECT($Q$3),V10,0)+PensionOct2025)*INDIRECT($O$2))-Pension2026</f>
        <v>43.852553383168008</v>
      </c>
      <c r="X12" s="80" t="str">
        <f>B12</f>
        <v>06460C</v>
      </c>
      <c r="Y12" s="153" t="str">
        <f>C12</f>
        <v>01</v>
      </c>
      <c r="Z12" s="155">
        <f ca="1">ROUND(R12,3)</f>
        <v>41.69</v>
      </c>
      <c r="AA12" s="155">
        <f t="shared" ref="AA12:AD12" ca="1" si="2">ROUND(S12,3)</f>
        <v>42.116</v>
      </c>
      <c r="AB12" s="155">
        <f t="shared" ca="1" si="2"/>
        <v>42.546999999999997</v>
      </c>
      <c r="AC12" s="155">
        <f t="shared" ca="1" si="2"/>
        <v>42.981999999999999</v>
      </c>
      <c r="AD12" s="155">
        <f t="shared" ca="1" si="2"/>
        <v>43.853000000000002</v>
      </c>
    </row>
    <row r="13" spans="1:30" s="56" customFormat="1" x14ac:dyDescent="0.25">
      <c r="B13" s="61"/>
      <c r="C13" s="61"/>
      <c r="D13" s="61"/>
      <c r="E13" s="61"/>
      <c r="F13" s="61"/>
      <c r="G13" s="61"/>
      <c r="H13" s="57"/>
      <c r="I13" s="61"/>
      <c r="J13" s="61"/>
      <c r="K13" s="61"/>
      <c r="L13" s="61"/>
      <c r="O13" s="137"/>
      <c r="P13" s="137"/>
      <c r="Q13" s="137"/>
      <c r="R13" s="138"/>
      <c r="S13" s="137"/>
      <c r="T13" s="137"/>
      <c r="U13" s="137"/>
      <c r="V13" s="137"/>
      <c r="W13" s="139"/>
      <c r="X13" s="82"/>
      <c r="Y13" s="82"/>
      <c r="Z13" s="82"/>
      <c r="AA13" s="82"/>
      <c r="AB13" s="82"/>
      <c r="AC13" s="82"/>
      <c r="AD13" s="82"/>
    </row>
    <row r="14" spans="1:30" s="56" customFormat="1" x14ac:dyDescent="0.25">
      <c r="B14" s="61"/>
      <c r="C14" s="61"/>
      <c r="D14" s="61"/>
      <c r="E14" s="61"/>
      <c r="F14" s="61"/>
      <c r="G14" s="61"/>
      <c r="H14" s="58"/>
      <c r="I14" s="61"/>
      <c r="J14" s="61"/>
      <c r="K14" s="61"/>
      <c r="L14" s="61"/>
      <c r="O14" s="137"/>
      <c r="P14" s="137"/>
      <c r="Q14" s="137"/>
      <c r="R14" s="138"/>
      <c r="S14" s="137"/>
      <c r="T14" s="137"/>
      <c r="U14" s="137"/>
      <c r="V14" s="137"/>
      <c r="W14" s="139"/>
      <c r="X14" s="82"/>
      <c r="Y14" s="82"/>
      <c r="Z14" s="82"/>
      <c r="AA14" s="82"/>
      <c r="AB14" s="82"/>
      <c r="AC14" s="82"/>
      <c r="AD14" s="82"/>
    </row>
    <row r="15" spans="1:30" s="56" customFormat="1" x14ac:dyDescent="0.25">
      <c r="B15" s="59" t="str">
        <f>"Provided that in addition to the wage rate above, eligible employees will have "&amp;TEXT(R15,"$#,###.00")&amp;" per hour contributed"</f>
        <v>Provided that in addition to the wage rate above, eligible employees will have $.53 per hour contributed</v>
      </c>
      <c r="C15" s="61"/>
      <c r="D15" s="61"/>
      <c r="E15" s="61"/>
      <c r="F15" s="61"/>
      <c r="G15" s="61"/>
      <c r="H15" s="60"/>
      <c r="I15" s="61"/>
      <c r="J15" s="61"/>
      <c r="K15" s="61"/>
      <c r="L15" s="61"/>
      <c r="O15" s="137" t="s">
        <v>81</v>
      </c>
      <c r="P15" s="137"/>
      <c r="Q15" s="140" t="s">
        <v>108</v>
      </c>
      <c r="R15" s="138">
        <f>PensionOct2025</f>
        <v>0.53</v>
      </c>
      <c r="S15" s="144" t="s">
        <v>109</v>
      </c>
      <c r="T15" s="140"/>
      <c r="U15" s="140"/>
      <c r="V15" s="140"/>
      <c r="W15" s="141"/>
      <c r="X15" s="80"/>
      <c r="Y15" s="82"/>
      <c r="Z15" s="121"/>
      <c r="AA15" s="82"/>
      <c r="AB15" s="82"/>
      <c r="AC15" s="82"/>
      <c r="AD15" s="82"/>
    </row>
    <row r="16" spans="1:30" s="56" customFormat="1" x14ac:dyDescent="0.25">
      <c r="B16" s="61"/>
      <c r="C16" s="61" t="s">
        <v>17</v>
      </c>
      <c r="D16" s="61"/>
      <c r="E16" s="61"/>
      <c r="F16" s="61"/>
      <c r="G16" s="61"/>
      <c r="H16" s="60"/>
      <c r="I16" s="61"/>
      <c r="J16" s="61"/>
      <c r="K16" s="61"/>
      <c r="L16" s="61"/>
      <c r="O16" s="137"/>
      <c r="P16" s="137"/>
      <c r="Q16" s="137"/>
      <c r="R16" s="138"/>
      <c r="S16" s="137"/>
      <c r="T16" s="137"/>
      <c r="U16" s="137"/>
      <c r="V16" s="137"/>
      <c r="W16" s="139"/>
      <c r="X16" s="82"/>
      <c r="Y16" s="82"/>
      <c r="Z16" s="82"/>
      <c r="AA16" s="82"/>
      <c r="AB16" s="82"/>
      <c r="AC16" s="82"/>
      <c r="AD16" s="82"/>
    </row>
    <row r="17" spans="1:30" x14ac:dyDescent="0.25">
      <c r="B17" s="52"/>
      <c r="D17" s="53"/>
      <c r="E17" s="52"/>
      <c r="F17" s="53"/>
      <c r="G17" s="52"/>
      <c r="H17" s="54"/>
      <c r="I17" s="70"/>
      <c r="J17" s="70"/>
      <c r="K17" s="89"/>
      <c r="M17" s="49"/>
    </row>
    <row r="18" spans="1:30" x14ac:dyDescent="0.25">
      <c r="B18" s="71" t="s">
        <v>21</v>
      </c>
      <c r="C18" s="91"/>
      <c r="D18" s="91"/>
      <c r="E18" s="91"/>
      <c r="F18" s="91"/>
      <c r="G18" s="91"/>
      <c r="H18" s="91"/>
      <c r="I18" s="91"/>
      <c r="J18" s="91"/>
      <c r="K18" s="91"/>
      <c r="L18" s="91"/>
      <c r="M18" s="49"/>
    </row>
    <row r="19" spans="1:30" x14ac:dyDescent="0.25">
      <c r="B19" s="72" t="s">
        <v>22</v>
      </c>
      <c r="M19" s="49"/>
      <c r="X19" s="80" t="s">
        <v>135</v>
      </c>
    </row>
    <row r="20" spans="1:30" x14ac:dyDescent="0.25">
      <c r="O20" s="129" t="s">
        <v>75</v>
      </c>
      <c r="R20" s="131" t="s">
        <v>76</v>
      </c>
      <c r="X20" s="80" t="s">
        <v>75</v>
      </c>
    </row>
    <row r="21" spans="1:30" x14ac:dyDescent="0.25">
      <c r="C21" s="73">
        <f ca="1">R21</f>
        <v>0.368468672</v>
      </c>
      <c r="D21" s="72" t="s">
        <v>23</v>
      </c>
      <c r="F21" s="72"/>
      <c r="J21" s="73"/>
      <c r="O21" s="129" t="s">
        <v>63</v>
      </c>
      <c r="R21" s="142" cm="1">
        <f t="array" aca="1" ref="R21" ca="1">VLOOKUP(O21,INDIRECT($Q$3),4,0)*INDIRECT($O$2)</f>
        <v>0.368468672</v>
      </c>
      <c r="X21" s="80" t="str">
        <f>O21</f>
        <v>10th</v>
      </c>
      <c r="Z21" s="154">
        <f ca="1">ROUND(R21,3)</f>
        <v>0.36799999999999999</v>
      </c>
    </row>
    <row r="22" spans="1:30" x14ac:dyDescent="0.25">
      <c r="C22" s="73">
        <f t="shared" ref="C22:C24" ca="1" si="3">R22</f>
        <v>0.47471424000000001</v>
      </c>
      <c r="D22" s="72" t="s">
        <v>24</v>
      </c>
      <c r="F22" s="72"/>
      <c r="J22" s="73"/>
      <c r="O22" s="129" t="s">
        <v>64</v>
      </c>
      <c r="R22" s="142" cm="1">
        <f t="array" aca="1" ref="R22" ca="1">VLOOKUP(O22,INDIRECT($Q$3),4,0)*INDIRECT($O$2)</f>
        <v>0.47471424000000001</v>
      </c>
      <c r="X22" s="80" t="str">
        <f t="shared" ref="X22:X24" si="4">O22</f>
        <v>15th</v>
      </c>
      <c r="Z22" s="154">
        <f t="shared" ref="Z22:Z24" ca="1" si="5">ROUND(R22,3)</f>
        <v>0.47499999999999998</v>
      </c>
    </row>
    <row r="23" spans="1:30" x14ac:dyDescent="0.25">
      <c r="C23" s="73">
        <f t="shared" ca="1" si="3"/>
        <v>0.55835436800000005</v>
      </c>
      <c r="D23" s="72" t="s">
        <v>25</v>
      </c>
      <c r="F23" s="72"/>
      <c r="J23" s="73"/>
      <c r="O23" s="129" t="s">
        <v>65</v>
      </c>
      <c r="R23" s="142" cm="1">
        <f t="array" aca="1" ref="R23" ca="1">VLOOKUP(O23,INDIRECT($Q$3),4,0)*INDIRECT($O$2)</f>
        <v>0.55835436800000005</v>
      </c>
      <c r="X23" s="80" t="str">
        <f t="shared" si="4"/>
        <v>20th</v>
      </c>
      <c r="Z23" s="154">
        <f t="shared" ca="1" si="5"/>
        <v>0.55800000000000005</v>
      </c>
    </row>
    <row r="24" spans="1:30" x14ac:dyDescent="0.25">
      <c r="C24" s="73">
        <f t="shared" ca="1" si="3"/>
        <v>0.68946591999999995</v>
      </c>
      <c r="D24" s="72" t="s">
        <v>26</v>
      </c>
      <c r="F24" s="72"/>
      <c r="J24" s="73"/>
      <c r="O24" s="129" t="s">
        <v>66</v>
      </c>
      <c r="R24" s="142" cm="1">
        <f t="array" aca="1" ref="R24" ca="1">VLOOKUP(O24,INDIRECT($Q$3),4,0)*INDIRECT($O$2)</f>
        <v>0.68946591999999995</v>
      </c>
      <c r="X24" s="80" t="str">
        <f t="shared" si="4"/>
        <v>25th</v>
      </c>
      <c r="Z24" s="154">
        <f t="shared" ca="1" si="5"/>
        <v>0.68899999999999995</v>
      </c>
    </row>
    <row r="26" spans="1:30" x14ac:dyDescent="0.25">
      <c r="B26" s="92" t="s">
        <v>67</v>
      </c>
    </row>
    <row r="27" spans="1:30" x14ac:dyDescent="0.25">
      <c r="B27" s="41" t="s">
        <v>38</v>
      </c>
    </row>
    <row r="28" spans="1:30" x14ac:dyDescent="0.25">
      <c r="R28" s="142"/>
    </row>
    <row r="29" spans="1:30" x14ac:dyDescent="0.25">
      <c r="R29" s="142"/>
    </row>
    <row r="30" spans="1:30" x14ac:dyDescent="0.25">
      <c r="B30" s="93"/>
      <c r="C30" s="61"/>
      <c r="R30" s="142"/>
    </row>
    <row r="31" spans="1:30" s="41" customFormat="1" x14ac:dyDescent="0.25">
      <c r="A31" s="38"/>
      <c r="B31" s="61"/>
      <c r="M31" s="38"/>
      <c r="N31" s="38"/>
      <c r="O31" s="129"/>
      <c r="P31" s="129"/>
      <c r="Q31" s="129"/>
      <c r="R31" s="142"/>
      <c r="S31" s="129"/>
      <c r="T31" s="129"/>
      <c r="U31" s="129"/>
      <c r="V31" s="129"/>
      <c r="W31" s="132"/>
      <c r="X31" s="80"/>
      <c r="Y31" s="80"/>
      <c r="Z31" s="80"/>
      <c r="AA31" s="80"/>
      <c r="AB31" s="80"/>
      <c r="AC31" s="80"/>
      <c r="AD31" s="80"/>
    </row>
    <row r="32" spans="1:30" s="41" customFormat="1" x14ac:dyDescent="0.25">
      <c r="A32" s="38"/>
      <c r="B32" s="93"/>
      <c r="C32" s="61"/>
      <c r="M32" s="38" t="s">
        <v>152</v>
      </c>
      <c r="N32" s="38"/>
      <c r="O32" s="129"/>
      <c r="P32" s="129"/>
      <c r="Q32" s="129"/>
      <c r="R32" s="142"/>
      <c r="S32" s="129"/>
      <c r="T32" s="129"/>
      <c r="U32" s="129"/>
      <c r="V32" s="129"/>
      <c r="W32" s="132"/>
      <c r="X32" s="80"/>
      <c r="Y32" s="80"/>
      <c r="Z32" s="80"/>
      <c r="AA32" s="80"/>
      <c r="AB32" s="80"/>
      <c r="AC32" s="80"/>
      <c r="AD32" s="80"/>
    </row>
  </sheetData>
  <sheetProtection sheet="1" objects="1" scenarios="1"/>
  <pageMargins left="0.7" right="0.7" top="0.75" bottom="0.75" header="0.3" footer="0.3"/>
  <pageSetup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6AE7C-A2C8-4789-8304-73744643BA92}">
  <dimension ref="A1:AD32"/>
  <sheetViews>
    <sheetView showGridLines="0" workbookViewId="0">
      <selection activeCell="AE20" sqref="AE20"/>
    </sheetView>
  </sheetViews>
  <sheetFormatPr defaultColWidth="9.109375" defaultRowHeight="13.2" x14ac:dyDescent="0.25"/>
  <cols>
    <col min="1" max="1" width="2.5546875" style="38" customWidth="1"/>
    <col min="2" max="2" width="8.44140625" style="41" customWidth="1"/>
    <col min="3" max="3" width="9.5546875" style="41" customWidth="1"/>
    <col min="4" max="4" width="6.33203125" style="41" customWidth="1"/>
    <col min="5" max="5" width="9" style="41" bestFit="1" customWidth="1"/>
    <col min="6" max="6" width="4.6640625" style="41" hidden="1" customWidth="1"/>
    <col min="7" max="7" width="7.5546875" style="41" customWidth="1"/>
    <col min="8" max="8" width="8.44140625" style="41" customWidth="1"/>
    <col min="9" max="12" width="10.6640625" style="41" customWidth="1"/>
    <col min="13" max="13" width="10.6640625" style="38" customWidth="1"/>
    <col min="14" max="14" width="9.109375" style="38"/>
    <col min="15" max="15" width="15.33203125" style="129" hidden="1" customWidth="1"/>
    <col min="16" max="16" width="6.88671875" style="129" hidden="1" customWidth="1"/>
    <col min="17" max="17" width="13.33203125" style="129" hidden="1" customWidth="1"/>
    <col min="18" max="18" width="7.5546875" style="131" hidden="1" customWidth="1"/>
    <col min="19" max="19" width="15" style="129" hidden="1" customWidth="1"/>
    <col min="20" max="22" width="7.5546875" style="129" hidden="1" customWidth="1"/>
    <col min="23" max="23" width="15" style="132" hidden="1" customWidth="1"/>
    <col min="24" max="24" width="50.5546875" style="80" hidden="1" customWidth="1"/>
    <col min="25" max="25" width="9.33203125" style="80" hidden="1" customWidth="1"/>
    <col min="26" max="30" width="7.5546875" style="80" hidden="1" customWidth="1"/>
    <col min="31" max="16384" width="9.109375" style="38"/>
  </cols>
  <sheetData>
    <row r="1" spans="1:30" x14ac:dyDescent="0.25">
      <c r="A1" s="38" t="s">
        <v>150</v>
      </c>
    </row>
    <row r="2" spans="1:30" x14ac:dyDescent="0.25">
      <c r="A2" s="37" t="str">
        <f>'July 2025'!A2</f>
        <v>Appendix "A"</v>
      </c>
      <c r="O2" s="129" t="s">
        <v>127</v>
      </c>
      <c r="Q2" s="130">
        <v>1</v>
      </c>
    </row>
    <row r="3" spans="1:30" x14ac:dyDescent="0.25">
      <c r="A3" s="37" t="str">
        <f>'July 2025'!A3</f>
        <v>International Association of Machinist and Aerospace Workers, District Lodge 77, AFL-CIO (CMA)</v>
      </c>
      <c r="O3" s="129" t="s">
        <v>119</v>
      </c>
      <c r="Q3" s="129" t="s">
        <v>144</v>
      </c>
    </row>
    <row r="4" spans="1:30" s="41" customFormat="1" x14ac:dyDescent="0.25">
      <c r="A4" s="40" t="s">
        <v>148</v>
      </c>
      <c r="D4" s="42"/>
      <c r="E4" s="42"/>
      <c r="F4" s="42"/>
      <c r="G4" s="43"/>
      <c r="H4" s="43"/>
      <c r="I4" s="43"/>
      <c r="J4" s="43"/>
      <c r="K4" s="43"/>
      <c r="L4" s="43"/>
      <c r="M4" s="43"/>
      <c r="O4" s="133"/>
      <c r="P4" s="133"/>
      <c r="Q4" s="133"/>
      <c r="R4" s="131"/>
      <c r="S4" s="133"/>
      <c r="T4" s="133"/>
      <c r="U4" s="133"/>
      <c r="V4" s="133"/>
      <c r="W4" s="134"/>
      <c r="X4" s="81"/>
      <c r="Y4" s="81"/>
      <c r="Z4" s="81"/>
      <c r="AA4" s="81"/>
      <c r="AB4" s="81"/>
      <c r="AC4" s="81"/>
      <c r="AD4" s="81"/>
    </row>
    <row r="5" spans="1:30" s="41" customFormat="1" x14ac:dyDescent="0.25">
      <c r="A5" s="152"/>
      <c r="D5" s="42"/>
      <c r="E5" s="42"/>
      <c r="F5" s="42"/>
      <c r="G5" s="43"/>
      <c r="H5" s="43"/>
      <c r="I5" s="43"/>
      <c r="J5" s="43"/>
      <c r="K5" s="43"/>
      <c r="L5" s="43"/>
      <c r="M5" s="43"/>
      <c r="O5" s="133"/>
      <c r="P5" s="133"/>
      <c r="Q5" s="133"/>
      <c r="R5" s="131"/>
      <c r="S5" s="133"/>
      <c r="T5" s="133"/>
      <c r="U5" s="133"/>
      <c r="V5" s="133"/>
      <c r="W5" s="134"/>
      <c r="X5" s="81"/>
      <c r="Y5" s="81"/>
      <c r="Z5" s="81"/>
      <c r="AA5" s="81"/>
      <c r="AB5" s="81"/>
      <c r="AC5" s="81"/>
      <c r="AD5" s="81"/>
    </row>
    <row r="6" spans="1:30" s="41" customFormat="1" x14ac:dyDescent="0.25">
      <c r="A6" s="41" t="str">
        <f>"Reflects LIUNA Pension Fund contribution increase from "&amp;TEXT(PensionOct2025,"$#,##0.000")&amp;" to "&amp;TEXT(Pension2026,"$#,##0.000")&amp; " per hour"</f>
        <v>Reflects LIUNA Pension Fund contribution increase from $0.530 to $0.550 per hour</v>
      </c>
      <c r="D6" s="119"/>
      <c r="E6" s="42"/>
      <c r="F6" s="42"/>
      <c r="G6" s="43"/>
      <c r="H6" s="43"/>
      <c r="I6" s="43"/>
      <c r="O6" s="133"/>
      <c r="P6" s="133"/>
      <c r="Q6" s="133"/>
      <c r="R6" s="131"/>
      <c r="S6" s="133"/>
      <c r="T6" s="133"/>
      <c r="U6" s="133"/>
      <c r="V6" s="133"/>
      <c r="W6" s="134"/>
      <c r="X6" s="81"/>
      <c r="Y6" s="81"/>
      <c r="Z6" s="81"/>
      <c r="AA6" s="81"/>
      <c r="AB6" s="81"/>
      <c r="AC6" s="81"/>
      <c r="AD6" s="81"/>
    </row>
    <row r="7" spans="1:30" s="41" customFormat="1" x14ac:dyDescent="0.25">
      <c r="A7" s="41" t="str">
        <f>'July 2024'!A7</f>
        <v>Rates do not include pension contribution</v>
      </c>
      <c r="D7" s="119"/>
      <c r="E7" s="42"/>
      <c r="F7" s="42"/>
      <c r="G7" s="43"/>
      <c r="H7" s="43"/>
      <c r="I7" s="43"/>
      <c r="O7" s="133"/>
      <c r="P7" s="133"/>
      <c r="Q7" s="133"/>
      <c r="R7" s="131"/>
      <c r="S7" s="133"/>
      <c r="T7" s="133"/>
      <c r="U7" s="133"/>
      <c r="V7" s="133"/>
      <c r="W7" s="134"/>
      <c r="X7" s="81"/>
      <c r="Y7" s="81"/>
      <c r="Z7" s="81"/>
      <c r="AA7" s="81"/>
      <c r="AB7" s="81"/>
      <c r="AC7" s="81"/>
      <c r="AD7" s="81"/>
    </row>
    <row r="8" spans="1:30" x14ac:dyDescent="0.25">
      <c r="A8" s="151" t="str">
        <f>'July 2025'!A8</f>
        <v>Last Updated: 1/9/2026 - Updated pension contribution for 2024 and 2026</v>
      </c>
      <c r="Q8" s="145"/>
      <c r="R8" s="142"/>
      <c r="S8" s="143"/>
      <c r="T8" s="143"/>
      <c r="U8" s="143"/>
      <c r="V8" s="143"/>
    </row>
    <row r="9" spans="1:30" x14ac:dyDescent="0.25">
      <c r="R9" s="142"/>
      <c r="X9" s="80" t="str">
        <f>"Payroll: Rates do not include pension contribution of "&amp;TEXT(R15,"$0.00")</f>
        <v>Payroll: Rates do not include pension contribution of $0.55</v>
      </c>
    </row>
    <row r="10" spans="1:30" x14ac:dyDescent="0.25">
      <c r="C10" s="40"/>
      <c r="D10" s="44"/>
      <c r="E10" s="42"/>
      <c r="F10" s="44"/>
      <c r="G10" s="42"/>
      <c r="H10" s="45"/>
      <c r="I10" s="45"/>
      <c r="J10" s="45"/>
      <c r="K10" s="45"/>
      <c r="R10" s="148">
        <v>4</v>
      </c>
      <c r="S10" s="149">
        <f>R10+1</f>
        <v>5</v>
      </c>
      <c r="T10" s="149">
        <f t="shared" ref="T10:V10" si="0">S10+1</f>
        <v>6</v>
      </c>
      <c r="U10" s="149">
        <f t="shared" si="0"/>
        <v>7</v>
      </c>
      <c r="V10" s="149">
        <f t="shared" si="0"/>
        <v>8</v>
      </c>
    </row>
    <row r="11" spans="1:30" ht="27" thickBot="1" x14ac:dyDescent="0.3">
      <c r="B11" s="46" t="s">
        <v>3</v>
      </c>
      <c r="C11" s="46" t="s">
        <v>4</v>
      </c>
      <c r="D11" s="46" t="s">
        <v>5</v>
      </c>
      <c r="E11" s="47" t="s">
        <v>32</v>
      </c>
      <c r="F11" s="46" t="s">
        <v>7</v>
      </c>
      <c r="G11" s="46" t="s">
        <v>45</v>
      </c>
      <c r="H11" s="46" t="s">
        <v>46</v>
      </c>
      <c r="I11" s="46" t="s">
        <v>10</v>
      </c>
      <c r="J11" s="146" t="s">
        <v>115</v>
      </c>
      <c r="K11" s="146" t="s">
        <v>116</v>
      </c>
      <c r="L11" s="150" t="s">
        <v>117</v>
      </c>
      <c r="M11" s="150" t="s">
        <v>118</v>
      </c>
      <c r="O11" s="129" t="s">
        <v>3</v>
      </c>
      <c r="P11" s="129" t="s">
        <v>122</v>
      </c>
      <c r="Q11" s="129" t="s">
        <v>59</v>
      </c>
      <c r="R11" s="131" t="s">
        <v>10</v>
      </c>
      <c r="S11" s="129" t="s">
        <v>115</v>
      </c>
      <c r="T11" s="129" t="s">
        <v>116</v>
      </c>
      <c r="U11" s="129" t="s">
        <v>117</v>
      </c>
      <c r="V11" s="129" t="s">
        <v>118</v>
      </c>
      <c r="X11" s="80" t="s">
        <v>3</v>
      </c>
      <c r="Y11" s="80" t="s">
        <v>134</v>
      </c>
      <c r="Z11" s="83" t="s">
        <v>10</v>
      </c>
      <c r="AA11" s="83" t="s">
        <v>115</v>
      </c>
      <c r="AB11" s="83" t="s">
        <v>116</v>
      </c>
      <c r="AC11" s="83" t="s">
        <v>117</v>
      </c>
      <c r="AD11" s="83" t="s">
        <v>118</v>
      </c>
    </row>
    <row r="12" spans="1:30" x14ac:dyDescent="0.25">
      <c r="B12" s="50" t="s">
        <v>11</v>
      </c>
      <c r="C12" s="90" t="s">
        <v>12</v>
      </c>
      <c r="D12" s="52" t="s">
        <v>13</v>
      </c>
      <c r="E12" s="53" t="s">
        <v>29</v>
      </c>
      <c r="F12" s="52">
        <v>313</v>
      </c>
      <c r="G12" s="50">
        <v>6</v>
      </c>
      <c r="H12" s="52" t="s">
        <v>15</v>
      </c>
      <c r="I12" s="54">
        <f ca="1">R12</f>
        <v>41.669948201112291</v>
      </c>
      <c r="J12" s="54">
        <f t="shared" ref="J12:M12" ca="1" si="1">S12</f>
        <v>42.096412324355846</v>
      </c>
      <c r="K12" s="54">
        <f t="shared" ca="1" si="1"/>
        <v>42.527184166016013</v>
      </c>
      <c r="L12" s="54">
        <f t="shared" ca="1" si="1"/>
        <v>42.962307238400008</v>
      </c>
      <c r="M12" s="54">
        <f t="shared" ca="1" si="1"/>
        <v>43.832553383168012</v>
      </c>
      <c r="O12" s="129" t="str">
        <f>B12</f>
        <v>06460C</v>
      </c>
      <c r="P12" s="129" t="s">
        <v>123</v>
      </c>
      <c r="Q12" s="135" t="str">
        <f>C12</f>
        <v>01</v>
      </c>
      <c r="R12" s="136" cm="1">
        <f t="array" aca="1" ref="R12" ca="1">((VLOOKUP($O12,INDIRECT($Q$3),R10,0)+PensionOct2025)*INDIRECT($O$2))-PensionOct2026</f>
        <v>41.669948201112291</v>
      </c>
      <c r="S12" s="136" cm="1">
        <f t="array" aca="1" ref="S12" ca="1">((VLOOKUP($O12,INDIRECT($Q$3),S10,0)+PensionOct2025)*INDIRECT($O$2))-PensionOct2026</f>
        <v>42.096412324355846</v>
      </c>
      <c r="T12" s="136" cm="1">
        <f t="array" aca="1" ref="T12" ca="1">((VLOOKUP($O12,INDIRECT($Q$3),T10,0)+PensionOct2025)*INDIRECT($O$2))-PensionOct2026</f>
        <v>42.527184166016013</v>
      </c>
      <c r="U12" s="136" cm="1">
        <f t="array" aca="1" ref="U12" ca="1">((VLOOKUP($O12,INDIRECT($Q$3),U10,0)+PensionOct2025)*INDIRECT($O$2))-PensionOct2026</f>
        <v>42.962307238400008</v>
      </c>
      <c r="V12" s="136" cm="1">
        <f t="array" aca="1" ref="V12" ca="1">((VLOOKUP($O12,INDIRECT($Q$3),V10,0)+PensionOct2025)*INDIRECT($O$2))-PensionOct2026</f>
        <v>43.832553383168012</v>
      </c>
      <c r="X12" s="80" t="str">
        <f>B12</f>
        <v>06460C</v>
      </c>
      <c r="Y12" s="153" t="str">
        <f>C12</f>
        <v>01</v>
      </c>
      <c r="Z12" s="155">
        <f ca="1">ROUND(R12,3)</f>
        <v>41.67</v>
      </c>
      <c r="AA12" s="155">
        <f t="shared" ref="AA12:AD12" ca="1" si="2">ROUND(S12,3)</f>
        <v>42.095999999999997</v>
      </c>
      <c r="AB12" s="155">
        <f t="shared" ca="1" si="2"/>
        <v>42.527000000000001</v>
      </c>
      <c r="AC12" s="155">
        <f t="shared" ca="1" si="2"/>
        <v>42.962000000000003</v>
      </c>
      <c r="AD12" s="155">
        <f t="shared" ca="1" si="2"/>
        <v>43.832999999999998</v>
      </c>
    </row>
    <row r="13" spans="1:30" s="56" customFormat="1" x14ac:dyDescent="0.25">
      <c r="B13" s="61"/>
      <c r="C13" s="61"/>
      <c r="D13" s="61"/>
      <c r="E13" s="61"/>
      <c r="F13" s="61"/>
      <c r="G13" s="61"/>
      <c r="H13" s="57"/>
      <c r="I13" s="61"/>
      <c r="J13" s="61"/>
      <c r="K13" s="61"/>
      <c r="L13" s="61"/>
      <c r="O13" s="137"/>
      <c r="P13" s="137"/>
      <c r="Q13" s="137"/>
      <c r="R13" s="138"/>
      <c r="S13" s="137"/>
      <c r="T13" s="137"/>
      <c r="U13" s="137"/>
      <c r="V13" s="137"/>
      <c r="W13" s="139"/>
      <c r="X13" s="82"/>
      <c r="Y13" s="82"/>
      <c r="Z13" s="82"/>
      <c r="AA13" s="82"/>
      <c r="AB13" s="82"/>
      <c r="AC13" s="82"/>
      <c r="AD13" s="82"/>
    </row>
    <row r="14" spans="1:30" s="56" customFormat="1" x14ac:dyDescent="0.25">
      <c r="B14" s="61"/>
      <c r="C14" s="61"/>
      <c r="D14" s="61"/>
      <c r="E14" s="61"/>
      <c r="F14" s="61"/>
      <c r="G14" s="61"/>
      <c r="H14" s="58"/>
      <c r="I14" s="61"/>
      <c r="J14" s="61"/>
      <c r="K14" s="61"/>
      <c r="L14" s="61"/>
      <c r="O14" s="137"/>
      <c r="P14" s="137"/>
      <c r="Q14" s="137"/>
      <c r="R14" s="138"/>
      <c r="S14" s="137"/>
      <c r="T14" s="137"/>
      <c r="U14" s="137"/>
      <c r="V14" s="137"/>
      <c r="W14" s="139"/>
      <c r="X14" s="82"/>
      <c r="Y14" s="82"/>
      <c r="Z14" s="82"/>
      <c r="AA14" s="82"/>
      <c r="AB14" s="82"/>
      <c r="AC14" s="82"/>
      <c r="AD14" s="82"/>
    </row>
    <row r="15" spans="1:30" s="56" customFormat="1" x14ac:dyDescent="0.25">
      <c r="B15" s="59" t="str">
        <f>"Provided that in addition to the wage rate above, eligible employees will have "&amp;TEXT(R15,"$#,###.00")&amp;" per hour contributed"</f>
        <v>Provided that in addition to the wage rate above, eligible employees will have $.55 per hour contributed</v>
      </c>
      <c r="C15" s="61"/>
      <c r="D15" s="61"/>
      <c r="E15" s="61"/>
      <c r="F15" s="61"/>
      <c r="G15" s="61"/>
      <c r="H15" s="60"/>
      <c r="I15" s="61"/>
      <c r="J15" s="61"/>
      <c r="K15" s="61"/>
      <c r="L15" s="61"/>
      <c r="O15" s="137" t="s">
        <v>81</v>
      </c>
      <c r="P15" s="137"/>
      <c r="Q15" s="140" t="s">
        <v>108</v>
      </c>
      <c r="R15" s="138">
        <v>0.55000000000000004</v>
      </c>
      <c r="S15" s="144" t="s">
        <v>109</v>
      </c>
      <c r="T15" s="140"/>
      <c r="U15" s="140"/>
      <c r="V15" s="140"/>
      <c r="W15" s="141"/>
      <c r="X15" s="80" t="s">
        <v>81</v>
      </c>
      <c r="Y15" s="82" t="str">
        <f>Q15</f>
        <v>1019ER</v>
      </c>
      <c r="Z15" s="88">
        <f>Pension2026</f>
        <v>0.55000000000000004</v>
      </c>
      <c r="AA15" s="82"/>
      <c r="AB15" s="82"/>
      <c r="AC15" s="82"/>
      <c r="AD15" s="82"/>
    </row>
    <row r="16" spans="1:30" s="56" customFormat="1" x14ac:dyDescent="0.25">
      <c r="B16" s="61"/>
      <c r="C16" s="61" t="s">
        <v>17</v>
      </c>
      <c r="D16" s="61"/>
      <c r="E16" s="61"/>
      <c r="F16" s="61"/>
      <c r="G16" s="61"/>
      <c r="H16" s="60"/>
      <c r="I16" s="61"/>
      <c r="J16" s="61"/>
      <c r="K16" s="61"/>
      <c r="L16" s="61"/>
      <c r="O16" s="137"/>
      <c r="P16" s="137"/>
      <c r="Q16" s="137"/>
      <c r="R16" s="138"/>
      <c r="S16" s="137"/>
      <c r="T16" s="137"/>
      <c r="U16" s="137"/>
      <c r="V16" s="137"/>
      <c r="W16" s="139"/>
      <c r="X16" s="82"/>
      <c r="Y16" s="82"/>
      <c r="Z16" s="82"/>
      <c r="AA16" s="82"/>
      <c r="AB16" s="82"/>
      <c r="AC16" s="82"/>
      <c r="AD16" s="82"/>
    </row>
    <row r="17" spans="1:30" x14ac:dyDescent="0.25">
      <c r="B17" s="52"/>
      <c r="D17" s="53"/>
      <c r="E17" s="52"/>
      <c r="F17" s="53"/>
      <c r="G17" s="52"/>
      <c r="H17" s="54"/>
      <c r="I17" s="70"/>
      <c r="J17" s="70"/>
      <c r="K17" s="89"/>
      <c r="M17" s="49"/>
    </row>
    <row r="18" spans="1:30" x14ac:dyDescent="0.25">
      <c r="B18" s="71" t="s">
        <v>21</v>
      </c>
      <c r="C18" s="91"/>
      <c r="D18" s="91"/>
      <c r="E18" s="91"/>
      <c r="F18" s="91"/>
      <c r="G18" s="91"/>
      <c r="H18" s="91"/>
      <c r="I18" s="91"/>
      <c r="J18" s="91"/>
      <c r="K18" s="91"/>
      <c r="L18" s="91"/>
      <c r="M18" s="49"/>
    </row>
    <row r="19" spans="1:30" x14ac:dyDescent="0.25">
      <c r="B19" s="72" t="s">
        <v>22</v>
      </c>
      <c r="M19" s="49"/>
      <c r="X19" s="80" t="s">
        <v>135</v>
      </c>
    </row>
    <row r="20" spans="1:30" x14ac:dyDescent="0.25">
      <c r="O20" s="129" t="s">
        <v>75</v>
      </c>
      <c r="R20" s="131" t="s">
        <v>76</v>
      </c>
      <c r="X20" s="80" t="s">
        <v>75</v>
      </c>
    </row>
    <row r="21" spans="1:30" x14ac:dyDescent="0.25">
      <c r="C21" s="73">
        <f ca="1">R21</f>
        <v>0.368468672</v>
      </c>
      <c r="D21" s="72" t="s">
        <v>23</v>
      </c>
      <c r="F21" s="72"/>
      <c r="J21" s="73"/>
      <c r="O21" s="129" t="s">
        <v>63</v>
      </c>
      <c r="R21" s="142" cm="1">
        <f t="array" aca="1" ref="R21" ca="1">VLOOKUP(O21,INDIRECT($Q$3),4,0)*INDIRECT($O$2)</f>
        <v>0.368468672</v>
      </c>
      <c r="X21" s="80" t="str">
        <f>O21</f>
        <v>10th</v>
      </c>
      <c r="Z21" s="154">
        <f ca="1">ROUND(R21,3)</f>
        <v>0.36799999999999999</v>
      </c>
    </row>
    <row r="22" spans="1:30" x14ac:dyDescent="0.25">
      <c r="C22" s="73">
        <f t="shared" ref="C22:C24" ca="1" si="3">R22</f>
        <v>0.47471424000000001</v>
      </c>
      <c r="D22" s="72" t="s">
        <v>24</v>
      </c>
      <c r="F22" s="72"/>
      <c r="J22" s="73"/>
      <c r="O22" s="129" t="s">
        <v>64</v>
      </c>
      <c r="R22" s="142" cm="1">
        <f t="array" aca="1" ref="R22" ca="1">VLOOKUP(O22,INDIRECT($Q$3),4,0)*INDIRECT($O$2)</f>
        <v>0.47471424000000001</v>
      </c>
      <c r="X22" s="80" t="str">
        <f t="shared" ref="X22:X24" si="4">O22</f>
        <v>15th</v>
      </c>
      <c r="Z22" s="154">
        <f t="shared" ref="Z22:Z24" ca="1" si="5">ROUND(R22,3)</f>
        <v>0.47499999999999998</v>
      </c>
    </row>
    <row r="23" spans="1:30" x14ac:dyDescent="0.25">
      <c r="C23" s="73">
        <f t="shared" ca="1" si="3"/>
        <v>0.55835436800000005</v>
      </c>
      <c r="D23" s="72" t="s">
        <v>25</v>
      </c>
      <c r="F23" s="72"/>
      <c r="J23" s="73"/>
      <c r="O23" s="129" t="s">
        <v>65</v>
      </c>
      <c r="R23" s="142" cm="1">
        <f t="array" aca="1" ref="R23" ca="1">VLOOKUP(O23,INDIRECT($Q$3),4,0)*INDIRECT($O$2)</f>
        <v>0.55835436800000005</v>
      </c>
      <c r="X23" s="80" t="str">
        <f t="shared" si="4"/>
        <v>20th</v>
      </c>
      <c r="Z23" s="154">
        <f t="shared" ca="1" si="5"/>
        <v>0.55800000000000005</v>
      </c>
    </row>
    <row r="24" spans="1:30" x14ac:dyDescent="0.25">
      <c r="C24" s="73">
        <f t="shared" ca="1" si="3"/>
        <v>0.68946591999999995</v>
      </c>
      <c r="D24" s="72" t="s">
        <v>26</v>
      </c>
      <c r="F24" s="72"/>
      <c r="J24" s="73"/>
      <c r="O24" s="129" t="s">
        <v>66</v>
      </c>
      <c r="R24" s="142" cm="1">
        <f t="array" aca="1" ref="R24" ca="1">VLOOKUP(O24,INDIRECT($Q$3),4,0)*INDIRECT($O$2)</f>
        <v>0.68946591999999995</v>
      </c>
      <c r="X24" s="80" t="str">
        <f t="shared" si="4"/>
        <v>25th</v>
      </c>
      <c r="Z24" s="154">
        <f t="shared" ca="1" si="5"/>
        <v>0.68899999999999995</v>
      </c>
    </row>
    <row r="26" spans="1:30" x14ac:dyDescent="0.25">
      <c r="B26" s="92" t="s">
        <v>67</v>
      </c>
    </row>
    <row r="27" spans="1:30" x14ac:dyDescent="0.25">
      <c r="B27" s="41" t="s">
        <v>38</v>
      </c>
    </row>
    <row r="30" spans="1:30" x14ac:dyDescent="0.25">
      <c r="B30" s="93"/>
      <c r="C30" s="61"/>
    </row>
    <row r="31" spans="1:30" s="41" customFormat="1" x14ac:dyDescent="0.25">
      <c r="A31" s="38"/>
      <c r="B31" s="61"/>
      <c r="M31" s="38"/>
      <c r="N31" s="38"/>
      <c r="O31" s="129"/>
      <c r="P31" s="129"/>
      <c r="Q31" s="129"/>
      <c r="R31" s="131"/>
      <c r="S31" s="129"/>
      <c r="T31" s="129"/>
      <c r="U31" s="129"/>
      <c r="V31" s="129"/>
      <c r="W31" s="132"/>
      <c r="X31" s="80"/>
      <c r="Y31" s="80"/>
      <c r="Z31" s="80"/>
      <c r="AA31" s="80"/>
      <c r="AB31" s="80"/>
      <c r="AC31" s="80"/>
      <c r="AD31" s="80"/>
    </row>
    <row r="32" spans="1:30" s="41" customFormat="1" x14ac:dyDescent="0.25">
      <c r="A32" s="38"/>
      <c r="B32" s="93"/>
      <c r="C32" s="61"/>
      <c r="M32" s="38" t="s">
        <v>152</v>
      </c>
      <c r="N32" s="38"/>
      <c r="O32" s="129"/>
      <c r="P32" s="129"/>
      <c r="Q32" s="129"/>
      <c r="R32" s="131"/>
      <c r="S32" s="129"/>
      <c r="T32" s="129"/>
      <c r="U32" s="129"/>
      <c r="V32" s="129"/>
      <c r="W32" s="132"/>
      <c r="X32" s="80"/>
      <c r="Y32" s="80"/>
      <c r="Z32" s="80"/>
      <c r="AA32" s="80"/>
      <c r="AB32" s="80"/>
      <c r="AC32" s="80"/>
      <c r="AD32" s="80"/>
    </row>
  </sheetData>
  <sheetProtection sheet="1" objects="1" scenarios="1"/>
  <pageMargins left="0.7" right="0.7" top="0.75" bottom="0.75" header="0.3" footer="0.3"/>
  <pageSetup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5AC9F-98DE-4A84-94A9-F593F44ECDA4}">
  <dimension ref="A1:C17"/>
  <sheetViews>
    <sheetView topLeftCell="A7" zoomScale="150" zoomScaleNormal="150" workbookViewId="0">
      <selection activeCell="C18" sqref="C18"/>
    </sheetView>
  </sheetViews>
  <sheetFormatPr defaultRowHeight="13.2" x14ac:dyDescent="0.25"/>
  <cols>
    <col min="1" max="1" width="10.109375" bestFit="1" customWidth="1"/>
    <col min="2" max="2" width="10.6640625" bestFit="1" customWidth="1"/>
    <col min="3" max="3" width="85.5546875" customWidth="1"/>
  </cols>
  <sheetData>
    <row r="1" spans="1:3" ht="211.2" x14ac:dyDescent="0.25">
      <c r="A1" t="s">
        <v>54</v>
      </c>
      <c r="B1" t="s">
        <v>55</v>
      </c>
      <c r="C1" s="79" t="s">
        <v>53</v>
      </c>
    </row>
    <row r="2" spans="1:3" ht="184.8" x14ac:dyDescent="0.25">
      <c r="A2" t="s">
        <v>54</v>
      </c>
      <c r="B2" t="s">
        <v>55</v>
      </c>
      <c r="C2" s="79" t="s">
        <v>94</v>
      </c>
    </row>
    <row r="3" spans="1:3" ht="184.8" x14ac:dyDescent="0.25">
      <c r="A3" s="78">
        <v>43767</v>
      </c>
      <c r="B3" s="23" t="s">
        <v>39</v>
      </c>
      <c r="C3" s="77" t="s">
        <v>52</v>
      </c>
    </row>
    <row r="4" spans="1:3" ht="184.8" x14ac:dyDescent="0.25">
      <c r="A4" s="78">
        <v>43767</v>
      </c>
      <c r="B4" s="23" t="s">
        <v>39</v>
      </c>
      <c r="C4" s="77" t="s">
        <v>40</v>
      </c>
    </row>
    <row r="5" spans="1:3" ht="184.8" x14ac:dyDescent="0.25">
      <c r="A5" s="78">
        <v>43767</v>
      </c>
      <c r="B5" s="23" t="s">
        <v>39</v>
      </c>
      <c r="C5" s="77" t="s">
        <v>41</v>
      </c>
    </row>
    <row r="6" spans="1:3" x14ac:dyDescent="0.25">
      <c r="A6" s="78">
        <v>43805</v>
      </c>
      <c r="B6" s="23" t="s">
        <v>39</v>
      </c>
      <c r="C6" s="77" t="s">
        <v>56</v>
      </c>
    </row>
    <row r="7" spans="1:3" x14ac:dyDescent="0.25">
      <c r="A7" s="78">
        <v>44118</v>
      </c>
      <c r="B7" s="23" t="s">
        <v>39</v>
      </c>
      <c r="C7" s="77" t="s">
        <v>71</v>
      </c>
    </row>
    <row r="8" spans="1:3" x14ac:dyDescent="0.25">
      <c r="A8" s="78">
        <v>44118</v>
      </c>
      <c r="B8" s="23" t="s">
        <v>39</v>
      </c>
      <c r="C8" s="77" t="s">
        <v>84</v>
      </c>
    </row>
    <row r="9" spans="1:3" x14ac:dyDescent="0.25">
      <c r="A9" s="78">
        <v>44118</v>
      </c>
      <c r="B9" s="23" t="s">
        <v>39</v>
      </c>
      <c r="C9" s="77" t="s">
        <v>87</v>
      </c>
    </row>
    <row r="10" spans="1:3" x14ac:dyDescent="0.25">
      <c r="A10" s="78">
        <v>44118</v>
      </c>
      <c r="B10" s="23" t="s">
        <v>39</v>
      </c>
      <c r="C10" s="77" t="s">
        <v>83</v>
      </c>
    </row>
    <row r="11" spans="1:3" x14ac:dyDescent="0.25">
      <c r="A11" s="78">
        <v>44118</v>
      </c>
      <c r="B11" s="23" t="s">
        <v>39</v>
      </c>
      <c r="C11" s="77" t="s">
        <v>85</v>
      </c>
    </row>
    <row r="12" spans="1:3" x14ac:dyDescent="0.25">
      <c r="A12" s="78">
        <v>44118</v>
      </c>
      <c r="B12" s="23" t="s">
        <v>39</v>
      </c>
      <c r="C12" s="77" t="s">
        <v>86</v>
      </c>
    </row>
    <row r="13" spans="1:3" ht="26.4" x14ac:dyDescent="0.25">
      <c r="A13" s="78">
        <v>44118</v>
      </c>
      <c r="B13" s="23" t="s">
        <v>39</v>
      </c>
      <c r="C13" s="77" t="s">
        <v>92</v>
      </c>
    </row>
    <row r="14" spans="1:3" ht="26.4" x14ac:dyDescent="0.25">
      <c r="A14" s="78">
        <v>44133</v>
      </c>
      <c r="B14" s="23" t="s">
        <v>39</v>
      </c>
      <c r="C14" s="77" t="s">
        <v>95</v>
      </c>
    </row>
    <row r="15" spans="1:3" ht="26.4" x14ac:dyDescent="0.25">
      <c r="A15" s="78">
        <v>44547</v>
      </c>
      <c r="B15" s="23" t="s">
        <v>39</v>
      </c>
      <c r="C15" s="77" t="s">
        <v>96</v>
      </c>
    </row>
    <row r="16" spans="1:3" x14ac:dyDescent="0.25">
      <c r="A16" s="78">
        <v>44547</v>
      </c>
      <c r="B16" s="23" t="s">
        <v>39</v>
      </c>
      <c r="C16" s="77" t="s">
        <v>104</v>
      </c>
    </row>
    <row r="17" spans="1:3" x14ac:dyDescent="0.25">
      <c r="A17" s="78">
        <v>44547</v>
      </c>
      <c r="B17" s="23" t="s">
        <v>39</v>
      </c>
      <c r="C17" s="77" t="s">
        <v>105</v>
      </c>
    </row>
  </sheetData>
  <phoneticPr fontId="17" type="noConversion"/>
  <pageMargins left="0.7" right="0.7" top="0.75" bottom="0.75" header="0.3" footer="0.3"/>
  <pageSetup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D756F-19EF-4BE9-B9E4-14F20F1CED55}">
  <dimension ref="A1:C10"/>
  <sheetViews>
    <sheetView workbookViewId="0">
      <selection activeCell="G32" sqref="G32"/>
    </sheetView>
  </sheetViews>
  <sheetFormatPr defaultColWidth="9.109375" defaultRowHeight="14.4" x14ac:dyDescent="0.3"/>
  <cols>
    <col min="1" max="1" width="9.6640625" style="100" bestFit="1" customWidth="1"/>
    <col min="2" max="2" width="13.109375" style="100" customWidth="1"/>
    <col min="3" max="3" width="15.33203125" style="100" bestFit="1" customWidth="1"/>
    <col min="4" max="16384" width="9.109375" style="100"/>
  </cols>
  <sheetData>
    <row r="1" spans="1:3" x14ac:dyDescent="0.3">
      <c r="A1" s="157" t="s">
        <v>91</v>
      </c>
      <c r="B1" s="157"/>
      <c r="C1" s="157"/>
    </row>
    <row r="2" spans="1:3" x14ac:dyDescent="0.3">
      <c r="A2" s="104" t="s">
        <v>89</v>
      </c>
      <c r="B2" s="104" t="s">
        <v>90</v>
      </c>
      <c r="C2" s="104" t="s">
        <v>88</v>
      </c>
    </row>
    <row r="3" spans="1:3" x14ac:dyDescent="0.3">
      <c r="A3" s="102">
        <v>43282</v>
      </c>
      <c r="B3" s="101">
        <v>31.807351847499987</v>
      </c>
      <c r="C3" s="103"/>
    </row>
    <row r="4" spans="1:3" x14ac:dyDescent="0.3">
      <c r="A4" s="102">
        <v>43647</v>
      </c>
      <c r="B4" s="101">
        <f>((B3+0.4)*1.025)-0.4</f>
        <v>32.612535643687487</v>
      </c>
      <c r="C4" s="103"/>
    </row>
    <row r="5" spans="1:3" x14ac:dyDescent="0.3">
      <c r="A5" s="102">
        <v>43696</v>
      </c>
      <c r="B5" s="101"/>
      <c r="C5" s="105"/>
    </row>
    <row r="6" spans="1:3" x14ac:dyDescent="0.3">
      <c r="A6" s="102">
        <v>43739</v>
      </c>
      <c r="B6" s="101">
        <f>B4-0.01</f>
        <v>32.602535643687489</v>
      </c>
      <c r="C6" s="101">
        <v>0.41</v>
      </c>
    </row>
    <row r="7" spans="1:3" x14ac:dyDescent="0.3">
      <c r="A7" s="102">
        <v>44013</v>
      </c>
      <c r="B7" s="101">
        <f>((B6+0.41)*1.025)-0.41</f>
        <v>33.427849034779676</v>
      </c>
      <c r="C7" s="103"/>
    </row>
    <row r="8" spans="1:3" x14ac:dyDescent="0.3">
      <c r="A8" s="102">
        <v>44105</v>
      </c>
      <c r="B8" s="101">
        <f>B7-0.01</f>
        <v>33.417849034779678</v>
      </c>
      <c r="C8" s="101">
        <v>0.42</v>
      </c>
    </row>
    <row r="9" spans="1:3" x14ac:dyDescent="0.3">
      <c r="A9" s="102">
        <v>44378</v>
      </c>
      <c r="B9" s="101">
        <f>((B8+0.42)*1.025)-0.42</f>
        <v>34.263795260649168</v>
      </c>
      <c r="C9" s="103"/>
    </row>
    <row r="10" spans="1:3" x14ac:dyDescent="0.3">
      <c r="A10" s="102">
        <v>44105</v>
      </c>
      <c r="B10" s="101">
        <f>B9-0.01</f>
        <v>34.25379526064917</v>
      </c>
      <c r="C10" s="101">
        <v>0.43</v>
      </c>
    </row>
  </sheetData>
  <mergeCells count="1">
    <mergeCell ref="A1:C1"/>
  </mergeCells>
  <pageMargins left="0.7" right="0.7" top="0.75" bottom="0.75" header="0.3" footer="0.3"/>
  <pageSetup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84152-D2B7-4892-994C-C59C8A427BEA}">
  <dimension ref="A1:Q34"/>
  <sheetViews>
    <sheetView workbookViewId="0">
      <selection activeCell="H7" sqref="H7"/>
    </sheetView>
  </sheetViews>
  <sheetFormatPr defaultColWidth="9.109375" defaultRowHeight="13.2" x14ac:dyDescent="0.25"/>
  <cols>
    <col min="1" max="1" width="2.109375" style="6" customWidth="1"/>
    <col min="2" max="2" width="9.109375" style="6"/>
    <col min="3" max="3" width="7.109375" style="6" customWidth="1"/>
    <col min="4" max="4" width="5.88671875" style="6" customWidth="1"/>
    <col min="5" max="5" width="13.109375" style="6" customWidth="1"/>
    <col min="6" max="6" width="4.5546875" style="6" hidden="1" customWidth="1"/>
    <col min="7" max="7" width="6.5546875" style="6" bestFit="1" customWidth="1"/>
    <col min="8" max="8" width="5.44140625" style="6" bestFit="1" customWidth="1"/>
    <col min="9" max="9" width="12.5546875" style="6" customWidth="1"/>
    <col min="10" max="10" width="10.5546875" style="6" customWidth="1"/>
    <col min="11" max="13" width="6.6640625" style="6" bestFit="1" customWidth="1"/>
    <col min="14" max="16" width="9.109375" style="6"/>
    <col min="17" max="17" width="9.109375" style="116"/>
    <col min="18" max="16384" width="9.109375" style="6"/>
  </cols>
  <sheetData>
    <row r="1" spans="1:17" x14ac:dyDescent="0.25">
      <c r="A1" s="5" t="s">
        <v>31</v>
      </c>
    </row>
    <row r="2" spans="1:17" x14ac:dyDescent="0.25">
      <c r="A2" s="5" t="s">
        <v>30</v>
      </c>
    </row>
    <row r="3" spans="1:17" x14ac:dyDescent="0.25">
      <c r="A3" s="106" t="s">
        <v>0</v>
      </c>
      <c r="D3" s="3"/>
      <c r="E3" s="3"/>
      <c r="F3" s="3"/>
      <c r="G3" s="4"/>
      <c r="H3" s="4"/>
      <c r="I3" s="4"/>
      <c r="J3" s="4"/>
      <c r="K3" s="4"/>
      <c r="L3" s="4"/>
      <c r="M3" s="4"/>
    </row>
    <row r="4" spans="1:17" x14ac:dyDescent="0.25">
      <c r="A4" s="106" t="s">
        <v>93</v>
      </c>
      <c r="D4" s="3"/>
      <c r="E4" s="3"/>
      <c r="F4" s="3"/>
      <c r="G4" s="4"/>
      <c r="H4" s="4"/>
      <c r="I4" s="4"/>
    </row>
    <row r="5" spans="1:17" x14ac:dyDescent="0.25">
      <c r="A5" s="5"/>
    </row>
    <row r="6" spans="1:17" x14ac:dyDescent="0.25">
      <c r="A6" s="5" t="s">
        <v>2</v>
      </c>
    </row>
    <row r="7" spans="1:17" x14ac:dyDescent="0.25">
      <c r="C7" s="106"/>
      <c r="D7" s="7"/>
      <c r="E7" s="3"/>
      <c r="F7" s="7"/>
      <c r="G7" s="3"/>
      <c r="H7" s="107"/>
      <c r="I7" s="107"/>
      <c r="J7" s="107"/>
      <c r="K7" s="107"/>
    </row>
    <row r="8" spans="1:17" ht="27" thickBot="1" x14ac:dyDescent="0.3">
      <c r="B8" s="46" t="s">
        <v>3</v>
      </c>
      <c r="C8" s="46" t="s">
        <v>4</v>
      </c>
      <c r="D8" s="46" t="s">
        <v>5</v>
      </c>
      <c r="E8" s="46" t="s">
        <v>32</v>
      </c>
      <c r="F8" s="46" t="s">
        <v>7</v>
      </c>
      <c r="G8" s="46" t="s">
        <v>45</v>
      </c>
      <c r="H8" s="46" t="s">
        <v>46</v>
      </c>
      <c r="I8" s="46" t="s">
        <v>10</v>
      </c>
      <c r="J8" s="3"/>
      <c r="K8" s="3"/>
    </row>
    <row r="9" spans="1:17" x14ac:dyDescent="0.25">
      <c r="B9" s="14" t="s">
        <v>11</v>
      </c>
      <c r="C9" s="15" t="s">
        <v>12</v>
      </c>
      <c r="D9" s="108" t="s">
        <v>13</v>
      </c>
      <c r="E9" s="14" t="s">
        <v>29</v>
      </c>
      <c r="F9" s="108">
        <v>313</v>
      </c>
      <c r="G9" s="14">
        <v>6</v>
      </c>
      <c r="H9" s="108" t="s">
        <v>15</v>
      </c>
      <c r="I9" s="109">
        <f>((('July 2018'!I9+0.4)*1.025)-0.4)</f>
        <v>32.612535643687487</v>
      </c>
      <c r="Q9" s="117"/>
    </row>
    <row r="10" spans="1:17" customFormat="1" x14ac:dyDescent="0.25">
      <c r="H10" s="20"/>
      <c r="Q10" s="117"/>
    </row>
    <row r="11" spans="1:17" customFormat="1" x14ac:dyDescent="0.25">
      <c r="H11" s="21"/>
      <c r="Q11" s="117"/>
    </row>
    <row r="12" spans="1:17" customFormat="1" x14ac:dyDescent="0.25">
      <c r="B12" s="23" t="s">
        <v>16</v>
      </c>
      <c r="H12" s="19"/>
      <c r="Q12" s="117"/>
    </row>
    <row r="13" spans="1:17" customFormat="1" x14ac:dyDescent="0.25">
      <c r="C13" s="23" t="s">
        <v>17</v>
      </c>
      <c r="H13" s="19"/>
      <c r="Q13" s="117"/>
    </row>
    <row r="14" spans="1:17" customFormat="1" x14ac:dyDescent="0.25">
      <c r="H14" s="19"/>
      <c r="Q14" s="117"/>
    </row>
    <row r="15" spans="1:17" x14ac:dyDescent="0.25">
      <c r="B15" s="24" t="s">
        <v>35</v>
      </c>
      <c r="C15" s="110"/>
      <c r="D15" s="26"/>
      <c r="E15" s="111"/>
      <c r="F15" s="26"/>
      <c r="G15" s="111"/>
      <c r="H15" s="112"/>
      <c r="I15" s="111"/>
      <c r="J15" s="111"/>
      <c r="K15" s="29"/>
      <c r="L15" s="29"/>
      <c r="M15" s="29"/>
    </row>
    <row r="16" spans="1:17" x14ac:dyDescent="0.25">
      <c r="B16" s="108"/>
      <c r="C16" s="113" t="s">
        <v>36</v>
      </c>
      <c r="D16" s="17"/>
      <c r="E16" s="108"/>
      <c r="F16" s="17"/>
      <c r="G16" s="108"/>
      <c r="H16" s="109"/>
      <c r="I16" s="108"/>
      <c r="J16" s="108"/>
    </row>
    <row r="17" spans="2:17" x14ac:dyDescent="0.25">
      <c r="B17" s="108"/>
      <c r="C17" s="6" t="s">
        <v>33</v>
      </c>
      <c r="D17" s="17"/>
      <c r="E17" s="108"/>
      <c r="F17" s="17"/>
      <c r="G17" s="108"/>
      <c r="H17" s="109"/>
      <c r="I17" s="108"/>
      <c r="J17" s="108"/>
    </row>
    <row r="18" spans="2:17" x14ac:dyDescent="0.25">
      <c r="B18" s="108"/>
      <c r="C18" s="6" t="s">
        <v>34</v>
      </c>
      <c r="D18" s="17"/>
      <c r="E18" s="108"/>
      <c r="F18" s="17"/>
      <c r="G18" s="108"/>
      <c r="H18" s="109"/>
      <c r="I18" s="108"/>
      <c r="J18" s="108"/>
    </row>
    <row r="19" spans="2:17" x14ac:dyDescent="0.25">
      <c r="B19" s="108"/>
      <c r="C19" s="113"/>
      <c r="D19" s="17"/>
      <c r="E19" s="108"/>
      <c r="F19" s="17"/>
      <c r="G19" s="108"/>
      <c r="H19" s="109"/>
      <c r="I19" s="108"/>
      <c r="J19" s="108"/>
    </row>
    <row r="20" spans="2:17" x14ac:dyDescent="0.25">
      <c r="B20" s="114" t="s">
        <v>21</v>
      </c>
      <c r="C20" s="29"/>
      <c r="D20" s="29"/>
      <c r="E20" s="29"/>
      <c r="F20" s="29"/>
      <c r="G20" s="29"/>
      <c r="H20" s="29"/>
      <c r="I20" s="29"/>
      <c r="J20" s="29"/>
      <c r="K20" s="29"/>
      <c r="L20" s="29"/>
      <c r="M20" s="29"/>
    </row>
    <row r="21" spans="2:17" x14ac:dyDescent="0.25">
      <c r="B21" s="115" t="s">
        <v>22</v>
      </c>
    </row>
    <row r="23" spans="2:17" x14ac:dyDescent="0.25">
      <c r="C23" s="35">
        <f>'July 2018'!C23</f>
        <v>0.24634939357852148</v>
      </c>
      <c r="D23" s="115" t="s">
        <v>23</v>
      </c>
      <c r="F23" s="115"/>
      <c r="J23" s="35"/>
    </row>
    <row r="24" spans="2:17" x14ac:dyDescent="0.25">
      <c r="C24" s="35">
        <f>'July 2018'!C24</f>
        <v>0.30151235997173875</v>
      </c>
      <c r="D24" s="115" t="s">
        <v>24</v>
      </c>
      <c r="F24" s="115"/>
      <c r="J24" s="35"/>
    </row>
    <row r="25" spans="2:17" x14ac:dyDescent="0.25">
      <c r="C25" s="35">
        <f>'July 2018'!C25</f>
        <v>0.40167025276131352</v>
      </c>
      <c r="D25" s="115" t="s">
        <v>25</v>
      </c>
      <c r="F25" s="115"/>
      <c r="J25" s="35"/>
    </row>
    <row r="26" spans="2:17" x14ac:dyDescent="0.25">
      <c r="C26" s="35">
        <f>'July 2018'!C26</f>
        <v>0.49700125915139071</v>
      </c>
      <c r="D26" s="115" t="s">
        <v>26</v>
      </c>
      <c r="F26" s="115"/>
      <c r="J26" s="35"/>
    </row>
    <row r="28" spans="2:17" s="2" customFormat="1" x14ac:dyDescent="0.25">
      <c r="B28" s="118" t="s">
        <v>67</v>
      </c>
      <c r="Q28" s="116"/>
    </row>
    <row r="29" spans="2:17" s="2" customFormat="1" x14ac:dyDescent="0.25">
      <c r="B29" s="2" t="s">
        <v>38</v>
      </c>
      <c r="Q29" s="116"/>
    </row>
    <row r="32" spans="2:17" ht="15.75" x14ac:dyDescent="0.2">
      <c r="B32" s="36"/>
      <c r="C32"/>
    </row>
    <row r="33" spans="2:3" ht="12.75" x14ac:dyDescent="0.2">
      <c r="B33"/>
    </row>
    <row r="34" spans="2:3" ht="15.75" x14ac:dyDescent="0.2">
      <c r="B34" s="36"/>
      <c r="C34"/>
    </row>
  </sheetData>
  <pageMargins left="0.75" right="0.75" top="1" bottom="1" header="0.5" footer="0.5"/>
  <pageSetup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FE45E-D756-4088-A3B1-054A6E2C0926}">
  <dimension ref="A1:Q34"/>
  <sheetViews>
    <sheetView workbookViewId="0">
      <selection activeCell="H7" sqref="H7"/>
    </sheetView>
  </sheetViews>
  <sheetFormatPr defaultColWidth="9.109375" defaultRowHeight="13.2" x14ac:dyDescent="0.25"/>
  <cols>
    <col min="1" max="1" width="2.109375" style="38" customWidth="1"/>
    <col min="2" max="2" width="9.109375" style="38"/>
    <col min="3" max="3" width="7.109375" style="38" customWidth="1"/>
    <col min="4" max="4" width="5.88671875" style="38" customWidth="1"/>
    <col min="5" max="5" width="13.109375" style="38" customWidth="1"/>
    <col min="6" max="6" width="4.5546875" style="38" hidden="1" customWidth="1"/>
    <col min="7" max="8" width="6.88671875" style="38" customWidth="1"/>
    <col min="9" max="9" width="12.5546875" style="38" customWidth="1"/>
    <col min="10" max="10" width="10.5546875" style="38" customWidth="1"/>
    <col min="11" max="13" width="6.6640625" style="38" bestFit="1" customWidth="1"/>
    <col min="14" max="14" width="9.109375" style="38"/>
    <col min="15" max="15" width="8.88671875" style="80" hidden="1" customWidth="1"/>
    <col min="16" max="16" width="26.88671875" style="80" hidden="1" customWidth="1"/>
    <col min="17" max="17" width="7.5546875" style="86" hidden="1" customWidth="1"/>
    <col min="18" max="16384" width="9.109375" style="38"/>
  </cols>
  <sheetData>
    <row r="1" spans="1:17" x14ac:dyDescent="0.25">
      <c r="A1" s="37" t="s">
        <v>31</v>
      </c>
    </row>
    <row r="2" spans="1:17" x14ac:dyDescent="0.25">
      <c r="A2" s="37" t="s">
        <v>30</v>
      </c>
    </row>
    <row r="3" spans="1:17" s="41" customFormat="1" x14ac:dyDescent="0.25">
      <c r="A3" s="40" t="s">
        <v>0</v>
      </c>
      <c r="D3" s="42"/>
      <c r="E3" s="42"/>
      <c r="F3" s="42"/>
      <c r="G3" s="43"/>
      <c r="H3" s="43"/>
      <c r="I3" s="43"/>
      <c r="J3" s="43"/>
      <c r="K3" s="43"/>
      <c r="L3" s="43"/>
      <c r="M3" s="43"/>
      <c r="O3" s="81"/>
      <c r="P3" s="81"/>
      <c r="Q3" s="86"/>
    </row>
    <row r="4" spans="1:17" s="41" customFormat="1" x14ac:dyDescent="0.25">
      <c r="A4" s="40" t="s">
        <v>51</v>
      </c>
      <c r="D4" s="42"/>
      <c r="E4" s="42"/>
      <c r="F4" s="42"/>
      <c r="G4" s="43"/>
      <c r="H4" s="43"/>
      <c r="I4" s="43"/>
      <c r="O4" s="81"/>
      <c r="P4" s="81"/>
      <c r="Q4" s="86"/>
    </row>
    <row r="5" spans="1:17" x14ac:dyDescent="0.25">
      <c r="A5" s="37"/>
    </row>
    <row r="6" spans="1:17" x14ac:dyDescent="0.25">
      <c r="A6" s="37" t="s">
        <v>2</v>
      </c>
    </row>
    <row r="7" spans="1:17" x14ac:dyDescent="0.25">
      <c r="C7" s="40"/>
      <c r="D7" s="44"/>
      <c r="E7" s="42"/>
      <c r="F7" s="44"/>
      <c r="G7" s="42"/>
      <c r="H7" s="45"/>
      <c r="I7" s="45"/>
      <c r="J7" s="45"/>
      <c r="K7" s="45"/>
    </row>
    <row r="8" spans="1:17" ht="27" thickBot="1" x14ac:dyDescent="0.3">
      <c r="B8" s="46" t="s">
        <v>3</v>
      </c>
      <c r="C8" s="46" t="s">
        <v>4</v>
      </c>
      <c r="D8" s="46" t="s">
        <v>5</v>
      </c>
      <c r="E8" s="46" t="s">
        <v>32</v>
      </c>
      <c r="F8" s="46" t="s">
        <v>7</v>
      </c>
      <c r="G8" s="46" t="s">
        <v>45</v>
      </c>
      <c r="H8" s="46" t="s">
        <v>46</v>
      </c>
      <c r="I8" s="46" t="s">
        <v>10</v>
      </c>
      <c r="J8" s="48"/>
      <c r="K8" s="48"/>
      <c r="L8" s="49"/>
      <c r="O8" s="83" t="s">
        <v>3</v>
      </c>
      <c r="P8" s="83" t="s">
        <v>59</v>
      </c>
      <c r="Q8" s="87" t="s">
        <v>60</v>
      </c>
    </row>
    <row r="9" spans="1:17" x14ac:dyDescent="0.25">
      <c r="B9" s="50" t="s">
        <v>11</v>
      </c>
      <c r="C9" s="51" t="s">
        <v>12</v>
      </c>
      <c r="D9" s="52" t="s">
        <v>13</v>
      </c>
      <c r="E9" s="50" t="s">
        <v>29</v>
      </c>
      <c r="F9" s="52">
        <v>313</v>
      </c>
      <c r="G9" s="50">
        <v>6</v>
      </c>
      <c r="H9" s="52" t="s">
        <v>15</v>
      </c>
      <c r="I9" s="54">
        <f>((('July 2018'!I9+0.4)*1.025)-0.4)</f>
        <v>32.612535643687487</v>
      </c>
      <c r="O9" s="83" t="str">
        <f>B9</f>
        <v>06460C</v>
      </c>
      <c r="P9" s="84" t="str">
        <f>C9</f>
        <v>01</v>
      </c>
      <c r="Q9" s="85">
        <f>I9</f>
        <v>32.612535643687487</v>
      </c>
    </row>
    <row r="10" spans="1:17" s="56" customFormat="1" x14ac:dyDescent="0.25">
      <c r="H10" s="57"/>
      <c r="O10" s="82"/>
      <c r="P10" s="82"/>
      <c r="Q10" s="88"/>
    </row>
    <row r="11" spans="1:17" s="56" customFormat="1" x14ac:dyDescent="0.25">
      <c r="H11" s="58"/>
      <c r="O11" s="82"/>
      <c r="P11" s="82"/>
      <c r="Q11" s="88"/>
    </row>
    <row r="12" spans="1:17" s="56" customFormat="1" x14ac:dyDescent="0.25">
      <c r="B12" s="59" t="s">
        <v>16</v>
      </c>
      <c r="H12" s="60"/>
      <c r="O12" s="82" t="s">
        <v>78</v>
      </c>
      <c r="P12" s="82"/>
      <c r="Q12" s="88">
        <v>0.4</v>
      </c>
    </row>
    <row r="13" spans="1:17" s="56" customFormat="1" x14ac:dyDescent="0.25">
      <c r="C13" s="61" t="s">
        <v>17</v>
      </c>
      <c r="H13" s="60"/>
      <c r="O13" s="82"/>
      <c r="P13" s="82"/>
      <c r="Q13" s="88"/>
    </row>
    <row r="14" spans="1:17" s="56" customFormat="1" x14ac:dyDescent="0.25">
      <c r="H14" s="60"/>
      <c r="O14" s="82"/>
      <c r="P14" s="82"/>
      <c r="Q14" s="88"/>
    </row>
    <row r="15" spans="1:17" x14ac:dyDescent="0.25">
      <c r="B15" s="63" t="s">
        <v>35</v>
      </c>
      <c r="C15" s="64"/>
      <c r="D15" s="65"/>
      <c r="E15" s="66"/>
      <c r="F15" s="65"/>
      <c r="G15" s="66"/>
      <c r="H15" s="67"/>
      <c r="I15" s="66"/>
      <c r="J15" s="66"/>
      <c r="K15" s="68"/>
      <c r="L15" s="68"/>
      <c r="M15" s="68"/>
      <c r="O15" s="82" t="s">
        <v>57</v>
      </c>
      <c r="P15" s="82" t="s">
        <v>58</v>
      </c>
      <c r="Q15" s="86">
        <v>0.4</v>
      </c>
    </row>
    <row r="16" spans="1:17" x14ac:dyDescent="0.25">
      <c r="B16" s="52"/>
      <c r="C16" s="69" t="s">
        <v>36</v>
      </c>
      <c r="D16" s="53"/>
      <c r="E16" s="52"/>
      <c r="F16" s="53"/>
      <c r="G16" s="52"/>
      <c r="H16" s="54"/>
      <c r="I16" s="70"/>
      <c r="J16" s="70"/>
      <c r="K16" s="49"/>
      <c r="O16" s="82" t="s">
        <v>61</v>
      </c>
      <c r="P16" s="82" t="s">
        <v>62</v>
      </c>
      <c r="Q16" s="86">
        <v>0.4</v>
      </c>
    </row>
    <row r="17" spans="2:17" x14ac:dyDescent="0.25">
      <c r="B17" s="52"/>
      <c r="C17" s="38" t="s">
        <v>33</v>
      </c>
      <c r="D17" s="53"/>
      <c r="E17" s="52"/>
      <c r="F17" s="53"/>
      <c r="G17" s="52"/>
      <c r="H17" s="54"/>
      <c r="I17" s="70"/>
      <c r="J17" s="70"/>
      <c r="K17" s="49"/>
    </row>
    <row r="18" spans="2:17" x14ac:dyDescent="0.25">
      <c r="B18" s="52"/>
      <c r="C18" s="38" t="s">
        <v>34</v>
      </c>
      <c r="D18" s="53"/>
      <c r="E18" s="52"/>
      <c r="F18" s="53"/>
      <c r="G18" s="52"/>
      <c r="H18" s="54"/>
      <c r="I18" s="70"/>
      <c r="J18" s="70"/>
      <c r="K18" s="49"/>
    </row>
    <row r="19" spans="2:17" x14ac:dyDescent="0.25">
      <c r="B19" s="52"/>
      <c r="C19" s="69"/>
      <c r="D19" s="53"/>
      <c r="E19" s="52"/>
      <c r="F19" s="53"/>
      <c r="G19" s="52"/>
      <c r="H19" s="54"/>
      <c r="I19" s="70"/>
      <c r="J19" s="70"/>
      <c r="K19" s="49"/>
    </row>
    <row r="20" spans="2:17" x14ac:dyDescent="0.25">
      <c r="B20" s="71" t="s">
        <v>21</v>
      </c>
      <c r="C20" s="68"/>
      <c r="D20" s="68"/>
      <c r="E20" s="68"/>
      <c r="F20" s="68"/>
      <c r="G20" s="68"/>
      <c r="H20" s="68"/>
      <c r="I20" s="68"/>
      <c r="J20" s="68"/>
      <c r="K20" s="68"/>
      <c r="L20" s="68"/>
      <c r="M20" s="68"/>
    </row>
    <row r="21" spans="2:17" x14ac:dyDescent="0.25">
      <c r="B21" s="72" t="s">
        <v>22</v>
      </c>
    </row>
    <row r="22" spans="2:17" x14ac:dyDescent="0.25">
      <c r="O22" s="80" t="s">
        <v>75</v>
      </c>
      <c r="Q22" s="87" t="s">
        <v>76</v>
      </c>
    </row>
    <row r="23" spans="2:17" x14ac:dyDescent="0.25">
      <c r="C23" s="73">
        <f>'July 2017'!C20+0.04</f>
        <v>0.24634939357852148</v>
      </c>
      <c r="D23" s="72" t="s">
        <v>23</v>
      </c>
      <c r="F23" s="72"/>
      <c r="J23" s="74"/>
      <c r="O23" s="80" t="s">
        <v>63</v>
      </c>
      <c r="Q23" s="96">
        <f>C23</f>
        <v>0.24634939357852148</v>
      </c>
    </row>
    <row r="24" spans="2:17" x14ac:dyDescent="0.25">
      <c r="C24" s="73">
        <f>'July 2017'!C21+0.03</f>
        <v>0.30151235997173875</v>
      </c>
      <c r="D24" s="72" t="s">
        <v>24</v>
      </c>
      <c r="F24" s="72"/>
      <c r="J24" s="74"/>
      <c r="O24" s="80" t="s">
        <v>64</v>
      </c>
      <c r="Q24" s="96">
        <f t="shared" ref="Q24:Q26" si="0">C24</f>
        <v>0.30151235997173875</v>
      </c>
    </row>
    <row r="25" spans="2:17" x14ac:dyDescent="0.25">
      <c r="C25" s="73">
        <f>'July 2017'!C22+0.03</f>
        <v>0.40167025276131352</v>
      </c>
      <c r="D25" s="72" t="s">
        <v>25</v>
      </c>
      <c r="F25" s="72"/>
      <c r="J25" s="74"/>
      <c r="O25" s="80" t="s">
        <v>65</v>
      </c>
      <c r="Q25" s="96">
        <f t="shared" si="0"/>
        <v>0.40167025276131352</v>
      </c>
    </row>
    <row r="26" spans="2:17" x14ac:dyDescent="0.25">
      <c r="C26" s="73">
        <f>'July 2017'!C23+0.03</f>
        <v>0.49700125915139071</v>
      </c>
      <c r="D26" s="72" t="s">
        <v>26</v>
      </c>
      <c r="F26" s="72"/>
      <c r="J26" s="74"/>
      <c r="O26" s="80" t="s">
        <v>66</v>
      </c>
      <c r="Q26" s="96">
        <f t="shared" si="0"/>
        <v>0.49700125915139071</v>
      </c>
    </row>
    <row r="28" spans="2:17" x14ac:dyDescent="0.25">
      <c r="B28" s="92" t="s">
        <v>67</v>
      </c>
    </row>
    <row r="29" spans="2:17" x14ac:dyDescent="0.25">
      <c r="B29" s="38" t="s">
        <v>38</v>
      </c>
    </row>
    <row r="32" spans="2:17" ht="15.75" x14ac:dyDescent="0.2">
      <c r="B32" s="75"/>
      <c r="C32" s="56"/>
    </row>
    <row r="33" spans="2:3" ht="12.75" x14ac:dyDescent="0.2">
      <c r="B33" s="56"/>
    </row>
    <row r="34" spans="2:3" ht="15.75" x14ac:dyDescent="0.2">
      <c r="B34" s="75"/>
      <c r="C34" s="56"/>
    </row>
  </sheetData>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4"/>
  <sheetViews>
    <sheetView workbookViewId="0">
      <selection activeCell="H7" sqref="H7"/>
    </sheetView>
  </sheetViews>
  <sheetFormatPr defaultColWidth="9.109375" defaultRowHeight="13.2" x14ac:dyDescent="0.25"/>
  <cols>
    <col min="1" max="1" width="2.109375" style="38" customWidth="1"/>
    <col min="2" max="2" width="9.109375" style="38"/>
    <col min="3" max="3" width="7.109375" style="38" customWidth="1"/>
    <col min="4" max="4" width="5.88671875" style="38" customWidth="1"/>
    <col min="5" max="5" width="13.109375" style="38" customWidth="1"/>
    <col min="6" max="6" width="4.5546875" style="38" hidden="1" customWidth="1"/>
    <col min="7" max="8" width="6.88671875" style="38" customWidth="1"/>
    <col min="9" max="9" width="12.5546875" style="38" customWidth="1"/>
    <col min="10" max="10" width="10.5546875" style="38" customWidth="1"/>
    <col min="11" max="13" width="6.6640625" style="38" bestFit="1" customWidth="1"/>
    <col min="14" max="14" width="9.109375" style="38"/>
    <col min="15" max="15" width="8.88671875" style="80" hidden="1" customWidth="1"/>
    <col min="16" max="16" width="26.88671875" style="80" hidden="1" customWidth="1"/>
    <col min="17" max="17" width="7.5546875" style="86" hidden="1" customWidth="1"/>
    <col min="18" max="16384" width="9.109375" style="38"/>
  </cols>
  <sheetData>
    <row r="1" spans="1:17" x14ac:dyDescent="0.25">
      <c r="A1" s="37" t="s">
        <v>31</v>
      </c>
    </row>
    <row r="2" spans="1:17" x14ac:dyDescent="0.25">
      <c r="A2" s="37" t="s">
        <v>30</v>
      </c>
    </row>
    <row r="3" spans="1:17" s="41" customFormat="1" x14ac:dyDescent="0.25">
      <c r="A3" s="40" t="s">
        <v>0</v>
      </c>
      <c r="D3" s="42"/>
      <c r="E3" s="42"/>
      <c r="F3" s="42"/>
      <c r="G3" s="43"/>
      <c r="H3" s="43"/>
      <c r="I3" s="43"/>
      <c r="J3" s="43"/>
      <c r="K3" s="43"/>
      <c r="L3" s="43"/>
      <c r="M3" s="43"/>
      <c r="O3" s="81"/>
      <c r="P3" s="81"/>
      <c r="Q3" s="86"/>
    </row>
    <row r="4" spans="1:17" s="41" customFormat="1" x14ac:dyDescent="0.25">
      <c r="A4" s="40" t="s">
        <v>82</v>
      </c>
      <c r="D4" s="42"/>
      <c r="E4" s="42"/>
      <c r="F4" s="42"/>
      <c r="G4" s="43"/>
      <c r="H4" s="43"/>
      <c r="I4" s="43"/>
      <c r="O4" s="81"/>
      <c r="P4" s="81"/>
      <c r="Q4" s="86"/>
    </row>
    <row r="5" spans="1:17" x14ac:dyDescent="0.25">
      <c r="A5" s="37"/>
    </row>
    <row r="6" spans="1:17" x14ac:dyDescent="0.25">
      <c r="A6" s="37" t="s">
        <v>49</v>
      </c>
    </row>
    <row r="7" spans="1:17" x14ac:dyDescent="0.25">
      <c r="C7" s="40"/>
      <c r="D7" s="44"/>
      <c r="E7" s="42"/>
      <c r="F7" s="44"/>
      <c r="G7" s="42"/>
      <c r="H7" s="45"/>
      <c r="I7" s="45"/>
      <c r="J7" s="45"/>
      <c r="K7" s="45"/>
    </row>
    <row r="8" spans="1:17" ht="27" thickBot="1" x14ac:dyDescent="0.3">
      <c r="B8" s="46" t="s">
        <v>3</v>
      </c>
      <c r="C8" s="46" t="s">
        <v>4</v>
      </c>
      <c r="D8" s="46" t="s">
        <v>5</v>
      </c>
      <c r="E8" s="46" t="s">
        <v>32</v>
      </c>
      <c r="F8" s="46" t="s">
        <v>7</v>
      </c>
      <c r="G8" s="46" t="s">
        <v>45</v>
      </c>
      <c r="H8" s="46" t="s">
        <v>46</v>
      </c>
      <c r="I8" s="46" t="s">
        <v>10</v>
      </c>
      <c r="J8" s="48"/>
      <c r="K8" s="48"/>
      <c r="L8" s="49"/>
      <c r="O8" s="83" t="s">
        <v>3</v>
      </c>
      <c r="P8" s="83" t="s">
        <v>59</v>
      </c>
      <c r="Q8" s="87" t="s">
        <v>60</v>
      </c>
    </row>
    <row r="9" spans="1:17" x14ac:dyDescent="0.25">
      <c r="B9" s="50" t="s">
        <v>11</v>
      </c>
      <c r="C9" s="51" t="s">
        <v>12</v>
      </c>
      <c r="D9" s="52" t="s">
        <v>13</v>
      </c>
      <c r="E9" s="50" t="s">
        <v>29</v>
      </c>
      <c r="F9" s="52">
        <v>313</v>
      </c>
      <c r="G9" s="50">
        <v>6</v>
      </c>
      <c r="H9" s="52" t="s">
        <v>15</v>
      </c>
      <c r="I9" s="54">
        <f>(('August 2019'!I9+0.4)-0.41)</f>
        <v>32.602535643687489</v>
      </c>
      <c r="O9" s="83" t="str">
        <f>B9</f>
        <v>06460C</v>
      </c>
      <c r="P9" s="84" t="str">
        <f>C9</f>
        <v>01</v>
      </c>
      <c r="Q9" s="85">
        <f>I9</f>
        <v>32.602535643687489</v>
      </c>
    </row>
    <row r="10" spans="1:17" s="56" customFormat="1" x14ac:dyDescent="0.25">
      <c r="H10" s="57"/>
      <c r="O10" s="82"/>
      <c r="P10" s="82"/>
      <c r="Q10" s="88"/>
    </row>
    <row r="11" spans="1:17" s="56" customFormat="1" x14ac:dyDescent="0.25">
      <c r="H11" s="58"/>
      <c r="O11" s="82"/>
      <c r="P11" s="82"/>
      <c r="Q11" s="88"/>
    </row>
    <row r="12" spans="1:17" s="56" customFormat="1" x14ac:dyDescent="0.25">
      <c r="B12" s="59" t="s">
        <v>42</v>
      </c>
      <c r="H12" s="60"/>
      <c r="O12" s="82" t="s">
        <v>78</v>
      </c>
      <c r="P12" s="82"/>
      <c r="Q12" s="88">
        <v>0.41</v>
      </c>
    </row>
    <row r="13" spans="1:17" s="56" customFormat="1" x14ac:dyDescent="0.25">
      <c r="C13" s="61" t="s">
        <v>17</v>
      </c>
      <c r="H13" s="60"/>
      <c r="O13" s="82"/>
      <c r="P13" s="82"/>
      <c r="Q13" s="88"/>
    </row>
    <row r="14" spans="1:17" s="56" customFormat="1" x14ac:dyDescent="0.25">
      <c r="H14" s="60"/>
      <c r="O14" s="82"/>
      <c r="P14" s="82"/>
      <c r="Q14" s="88"/>
    </row>
    <row r="15" spans="1:17" x14ac:dyDescent="0.25">
      <c r="B15" s="63" t="s">
        <v>35</v>
      </c>
      <c r="C15" s="64"/>
      <c r="D15" s="65"/>
      <c r="E15" s="66"/>
      <c r="F15" s="65"/>
      <c r="G15" s="66"/>
      <c r="H15" s="67"/>
      <c r="I15" s="66"/>
      <c r="J15" s="66"/>
      <c r="K15" s="68"/>
      <c r="L15" s="68"/>
      <c r="M15" s="68"/>
      <c r="O15" s="82" t="s">
        <v>57</v>
      </c>
      <c r="P15" s="82" t="s">
        <v>58</v>
      </c>
      <c r="Q15" s="86">
        <v>0.4</v>
      </c>
    </row>
    <row r="16" spans="1:17" x14ac:dyDescent="0.25">
      <c r="B16" s="52"/>
      <c r="C16" s="69" t="s">
        <v>36</v>
      </c>
      <c r="D16" s="53"/>
      <c r="E16" s="52"/>
      <c r="F16" s="53"/>
      <c r="G16" s="52"/>
      <c r="H16" s="54"/>
      <c r="I16" s="70"/>
      <c r="J16" s="70"/>
      <c r="K16" s="49"/>
      <c r="O16" s="82" t="s">
        <v>61</v>
      </c>
      <c r="P16" s="82" t="s">
        <v>62</v>
      </c>
      <c r="Q16" s="86">
        <v>0.4</v>
      </c>
    </row>
    <row r="17" spans="2:17" x14ac:dyDescent="0.25">
      <c r="B17" s="52"/>
      <c r="C17" s="38" t="s">
        <v>33</v>
      </c>
      <c r="D17" s="53"/>
      <c r="E17" s="52"/>
      <c r="F17" s="53"/>
      <c r="G17" s="52"/>
      <c r="H17" s="54"/>
      <c r="I17" s="70"/>
      <c r="J17" s="70"/>
      <c r="K17" s="49"/>
    </row>
    <row r="18" spans="2:17" x14ac:dyDescent="0.25">
      <c r="B18" s="52"/>
      <c r="C18" s="38" t="s">
        <v>34</v>
      </c>
      <c r="D18" s="53"/>
      <c r="E18" s="52"/>
      <c r="F18" s="53"/>
      <c r="G18" s="52"/>
      <c r="H18" s="54"/>
      <c r="I18" s="70"/>
      <c r="J18" s="70"/>
      <c r="K18" s="49"/>
    </row>
    <row r="19" spans="2:17" x14ac:dyDescent="0.25">
      <c r="B19" s="52"/>
      <c r="C19" s="69"/>
      <c r="D19" s="53"/>
      <c r="E19" s="52"/>
      <c r="F19" s="53"/>
      <c r="G19" s="52"/>
      <c r="H19" s="54"/>
      <c r="I19" s="70"/>
      <c r="J19" s="70"/>
      <c r="K19" s="49"/>
    </row>
    <row r="20" spans="2:17" x14ac:dyDescent="0.25">
      <c r="B20" s="71" t="s">
        <v>21</v>
      </c>
      <c r="C20" s="68"/>
      <c r="D20" s="68"/>
      <c r="E20" s="68"/>
      <c r="F20" s="68"/>
      <c r="G20" s="68"/>
      <c r="H20" s="68"/>
      <c r="I20" s="68"/>
      <c r="J20" s="68"/>
      <c r="K20" s="68"/>
      <c r="L20" s="68"/>
      <c r="M20" s="68"/>
    </row>
    <row r="21" spans="2:17" x14ac:dyDescent="0.25">
      <c r="B21" s="72" t="s">
        <v>22</v>
      </c>
    </row>
    <row r="22" spans="2:17" x14ac:dyDescent="0.25">
      <c r="O22" s="80" t="s">
        <v>75</v>
      </c>
      <c r="Q22" s="87" t="s">
        <v>76</v>
      </c>
    </row>
    <row r="23" spans="2:17" x14ac:dyDescent="0.25">
      <c r="C23" s="73">
        <f>'July 2017'!C20+0.04</f>
        <v>0.24634939357852148</v>
      </c>
      <c r="D23" s="72" t="s">
        <v>23</v>
      </c>
      <c r="F23" s="72"/>
      <c r="J23" s="74"/>
      <c r="O23" s="80" t="s">
        <v>63</v>
      </c>
      <c r="Q23" s="96">
        <f>C23</f>
        <v>0.24634939357852148</v>
      </c>
    </row>
    <row r="24" spans="2:17" x14ac:dyDescent="0.25">
      <c r="C24" s="73">
        <f>'July 2017'!C21+0.03</f>
        <v>0.30151235997173875</v>
      </c>
      <c r="D24" s="72" t="s">
        <v>24</v>
      </c>
      <c r="F24" s="72"/>
      <c r="J24" s="74"/>
      <c r="O24" s="80" t="s">
        <v>64</v>
      </c>
      <c r="Q24" s="96">
        <f t="shared" ref="Q24:Q26" si="0">C24</f>
        <v>0.30151235997173875</v>
      </c>
    </row>
    <row r="25" spans="2:17" x14ac:dyDescent="0.25">
      <c r="C25" s="73">
        <f>'July 2017'!C22+0.03</f>
        <v>0.40167025276131352</v>
      </c>
      <c r="D25" s="72" t="s">
        <v>25</v>
      </c>
      <c r="F25" s="72"/>
      <c r="J25" s="74"/>
      <c r="O25" s="80" t="s">
        <v>65</v>
      </c>
      <c r="Q25" s="96">
        <f t="shared" si="0"/>
        <v>0.40167025276131352</v>
      </c>
    </row>
    <row r="26" spans="2:17" x14ac:dyDescent="0.25">
      <c r="C26" s="73">
        <f>'July 2017'!C23+0.03</f>
        <v>0.49700125915139071</v>
      </c>
      <c r="D26" s="72" t="s">
        <v>26</v>
      </c>
      <c r="F26" s="72"/>
      <c r="J26" s="74"/>
      <c r="O26" s="80" t="s">
        <v>66</v>
      </c>
      <c r="Q26" s="96">
        <f t="shared" si="0"/>
        <v>0.49700125915139071</v>
      </c>
    </row>
    <row r="28" spans="2:17" x14ac:dyDescent="0.25">
      <c r="B28" s="92" t="s">
        <v>67</v>
      </c>
    </row>
    <row r="29" spans="2:17" x14ac:dyDescent="0.25">
      <c r="B29" s="38" t="s">
        <v>38</v>
      </c>
    </row>
    <row r="32" spans="2:17" ht="15.75" x14ac:dyDescent="0.2">
      <c r="B32" s="75"/>
      <c r="C32" s="56"/>
    </row>
    <row r="33" spans="2:3" ht="12.75" x14ac:dyDescent="0.2">
      <c r="B33" s="56"/>
    </row>
    <row r="34" spans="2:3" ht="15.75" x14ac:dyDescent="0.2">
      <c r="B34" s="75"/>
      <c r="C34" s="56"/>
    </row>
  </sheetData>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6CC4-8BC9-43FF-87A4-ECFB6C11E818}">
  <dimension ref="A1:V34"/>
  <sheetViews>
    <sheetView workbookViewId="0">
      <selection activeCell="J35" sqref="J35"/>
    </sheetView>
  </sheetViews>
  <sheetFormatPr defaultColWidth="9.109375" defaultRowHeight="13.2" x14ac:dyDescent="0.25"/>
  <cols>
    <col min="1" max="1" width="2.109375" style="38" customWidth="1"/>
    <col min="2" max="2" width="9.109375" style="38"/>
    <col min="3" max="3" width="7.109375" style="38" customWidth="1"/>
    <col min="4" max="4" width="5.88671875" style="38" customWidth="1"/>
    <col min="5" max="5" width="13.109375" style="38" customWidth="1"/>
    <col min="6" max="6" width="4.5546875" style="38" hidden="1" customWidth="1"/>
    <col min="7" max="8" width="6.88671875" style="38" customWidth="1"/>
    <col min="9" max="9" width="12.5546875" style="38" customWidth="1"/>
    <col min="10" max="10" width="10.5546875" style="38" customWidth="1"/>
    <col min="11" max="13" width="6.6640625" style="38" bestFit="1" customWidth="1"/>
    <col min="14" max="14" width="9.109375" style="38"/>
    <col min="15" max="15" width="8.88671875" style="80" hidden="1" customWidth="1"/>
    <col min="16" max="16" width="26.88671875" style="80" hidden="1" customWidth="1"/>
    <col min="17" max="17" width="7.5546875" style="86" hidden="1" customWidth="1"/>
    <col min="18" max="18" width="9.109375" style="38"/>
    <col min="19" max="19" width="7.109375" style="39" hidden="1" customWidth="1"/>
    <col min="20" max="21" width="12" style="38" hidden="1" customWidth="1"/>
    <col min="22" max="22" width="7.109375" style="38" hidden="1" customWidth="1"/>
    <col min="23" max="16384" width="9.109375" style="38"/>
  </cols>
  <sheetData>
    <row r="1" spans="1:22" x14ac:dyDescent="0.25">
      <c r="A1" s="37" t="s">
        <v>31</v>
      </c>
    </row>
    <row r="2" spans="1:22" x14ac:dyDescent="0.25">
      <c r="A2" s="37" t="s">
        <v>30</v>
      </c>
    </row>
    <row r="3" spans="1:22" s="41" customFormat="1" x14ac:dyDescent="0.25">
      <c r="A3" s="40" t="s">
        <v>0</v>
      </c>
      <c r="D3" s="42"/>
      <c r="E3" s="42"/>
      <c r="F3" s="42"/>
      <c r="G3" s="43"/>
      <c r="H3" s="43"/>
      <c r="I3" s="43"/>
      <c r="J3" s="43"/>
      <c r="K3" s="43"/>
      <c r="L3" s="43"/>
      <c r="M3" s="43"/>
      <c r="O3" s="81"/>
      <c r="P3" s="81"/>
      <c r="Q3" s="86"/>
      <c r="S3" s="39"/>
    </row>
    <row r="4" spans="1:22" s="41" customFormat="1" x14ac:dyDescent="0.25">
      <c r="A4" s="40" t="s">
        <v>28</v>
      </c>
      <c r="D4" s="42"/>
      <c r="E4" s="42"/>
      <c r="F4" s="42"/>
      <c r="G4" s="43"/>
      <c r="H4" s="43"/>
      <c r="I4" s="43"/>
      <c r="O4" s="81"/>
      <c r="P4" s="81"/>
      <c r="Q4" s="86"/>
      <c r="S4" s="39"/>
    </row>
    <row r="5" spans="1:22" x14ac:dyDescent="0.25">
      <c r="A5" s="37"/>
    </row>
    <row r="6" spans="1:22" x14ac:dyDescent="0.25">
      <c r="A6" s="37" t="s">
        <v>49</v>
      </c>
    </row>
    <row r="7" spans="1:22" x14ac:dyDescent="0.25">
      <c r="C7" s="40"/>
      <c r="D7" s="44"/>
      <c r="E7" s="42"/>
      <c r="F7" s="44"/>
      <c r="G7" s="42"/>
      <c r="H7" s="45"/>
      <c r="I7" s="45"/>
      <c r="J7" s="45"/>
      <c r="K7" s="45"/>
    </row>
    <row r="8" spans="1:22" ht="27" thickBot="1" x14ac:dyDescent="0.3">
      <c r="B8" s="46" t="s">
        <v>3</v>
      </c>
      <c r="C8" s="46" t="s">
        <v>4</v>
      </c>
      <c r="D8" s="46" t="s">
        <v>5</v>
      </c>
      <c r="E8" s="46" t="s">
        <v>32</v>
      </c>
      <c r="F8" s="46" t="s">
        <v>7</v>
      </c>
      <c r="G8" s="46" t="s">
        <v>45</v>
      </c>
      <c r="H8" s="46" t="s">
        <v>46</v>
      </c>
      <c r="I8" s="46" t="s">
        <v>10</v>
      </c>
      <c r="J8" s="48"/>
      <c r="K8" s="48"/>
      <c r="L8" s="49"/>
      <c r="O8" s="83" t="s">
        <v>3</v>
      </c>
      <c r="P8" s="83" t="s">
        <v>59</v>
      </c>
      <c r="Q8" s="87" t="s">
        <v>60</v>
      </c>
      <c r="T8" s="99" t="s">
        <v>79</v>
      </c>
      <c r="U8" s="99" t="s">
        <v>80</v>
      </c>
    </row>
    <row r="9" spans="1:22" x14ac:dyDescent="0.25">
      <c r="B9" s="50" t="s">
        <v>11</v>
      </c>
      <c r="C9" s="51" t="s">
        <v>12</v>
      </c>
      <c r="D9" s="52" t="s">
        <v>13</v>
      </c>
      <c r="E9" s="50" t="s">
        <v>29</v>
      </c>
      <c r="F9" s="52">
        <v>313</v>
      </c>
      <c r="G9" s="50">
        <v>6</v>
      </c>
      <c r="H9" s="52" t="s">
        <v>15</v>
      </c>
      <c r="I9" s="54">
        <f>((('October 2019'!I9+0.41)*1.025)-0.41)</f>
        <v>33.427849034779676</v>
      </c>
      <c r="O9" s="83" t="str">
        <f>B9</f>
        <v>06460C</v>
      </c>
      <c r="P9" s="84" t="str">
        <f>C9</f>
        <v>01</v>
      </c>
      <c r="Q9" s="85">
        <f>I9</f>
        <v>33.427849034779676</v>
      </c>
      <c r="S9" s="55"/>
      <c r="T9" s="74">
        <f>'October 2019'!I9</f>
        <v>32.602535643687489</v>
      </c>
      <c r="U9" s="74">
        <f>T9</f>
        <v>32.602535643687489</v>
      </c>
    </row>
    <row r="10" spans="1:22" s="56" customFormat="1" x14ac:dyDescent="0.25">
      <c r="H10" s="57"/>
      <c r="O10" s="82"/>
      <c r="P10" s="82"/>
      <c r="Q10" s="88"/>
      <c r="S10" s="97" t="s">
        <v>73</v>
      </c>
      <c r="T10" s="98">
        <f>T9+S10</f>
        <v>33.002535643687487</v>
      </c>
      <c r="U10" s="98">
        <f>U9+0.41</f>
        <v>33.012535643687485</v>
      </c>
      <c r="V10" s="97" t="s">
        <v>74</v>
      </c>
    </row>
    <row r="11" spans="1:22" s="56" customFormat="1" x14ac:dyDescent="0.25">
      <c r="H11" s="58"/>
      <c r="O11" s="82"/>
      <c r="P11" s="82"/>
      <c r="Q11" s="88"/>
      <c r="S11" s="97" t="s">
        <v>72</v>
      </c>
      <c r="T11" s="98">
        <f>T10*1.025</f>
        <v>33.827599034779674</v>
      </c>
      <c r="U11" s="98">
        <f>U10*1.025</f>
        <v>33.837849034779673</v>
      </c>
      <c r="V11" s="97" t="s">
        <v>72</v>
      </c>
    </row>
    <row r="12" spans="1:22" s="56" customFormat="1" x14ac:dyDescent="0.25">
      <c r="B12" s="59" t="s">
        <v>42</v>
      </c>
      <c r="H12" s="60"/>
      <c r="O12" s="82" t="s">
        <v>78</v>
      </c>
      <c r="P12" s="82"/>
      <c r="Q12" s="88">
        <v>0.41</v>
      </c>
      <c r="S12" s="97">
        <v>-0.41</v>
      </c>
      <c r="T12" s="98">
        <f>T11-0.41</f>
        <v>33.417599034779677</v>
      </c>
      <c r="U12" s="98">
        <f>U11-0.42</f>
        <v>33.417849034779671</v>
      </c>
      <c r="V12" s="97">
        <v>-0.42</v>
      </c>
    </row>
    <row r="13" spans="1:22" s="56" customFormat="1" x14ac:dyDescent="0.25">
      <c r="C13" s="61" t="s">
        <v>17</v>
      </c>
      <c r="H13" s="60"/>
      <c r="O13" s="82"/>
      <c r="P13" s="82"/>
      <c r="Q13" s="88"/>
      <c r="S13" s="55"/>
    </row>
    <row r="14" spans="1:22" s="56" customFormat="1" x14ac:dyDescent="0.25">
      <c r="H14" s="60"/>
      <c r="O14" s="82"/>
      <c r="P14" s="82"/>
      <c r="Q14" s="88"/>
      <c r="S14" s="55"/>
    </row>
    <row r="15" spans="1:22" x14ac:dyDescent="0.25">
      <c r="B15" s="63" t="s">
        <v>35</v>
      </c>
      <c r="C15" s="64"/>
      <c r="D15" s="65"/>
      <c r="E15" s="66"/>
      <c r="F15" s="65"/>
      <c r="G15" s="66"/>
      <c r="H15" s="67"/>
      <c r="I15" s="66"/>
      <c r="J15" s="66"/>
      <c r="K15" s="68"/>
      <c r="L15" s="68"/>
      <c r="M15" s="68"/>
      <c r="O15" s="82" t="s">
        <v>57</v>
      </c>
      <c r="P15" s="82" t="s">
        <v>58</v>
      </c>
      <c r="Q15" s="86">
        <v>0.4</v>
      </c>
    </row>
    <row r="16" spans="1:22" x14ac:dyDescent="0.25">
      <c r="B16" s="52"/>
      <c r="C16" s="69" t="s">
        <v>36</v>
      </c>
      <c r="D16" s="53"/>
      <c r="E16" s="52"/>
      <c r="F16" s="53"/>
      <c r="G16" s="52"/>
      <c r="H16" s="54"/>
      <c r="I16" s="70"/>
      <c r="J16" s="70"/>
      <c r="K16" s="49"/>
      <c r="O16" s="82" t="s">
        <v>61</v>
      </c>
      <c r="P16" s="82" t="s">
        <v>62</v>
      </c>
      <c r="Q16" s="86">
        <v>0.4</v>
      </c>
    </row>
    <row r="17" spans="2:17" x14ac:dyDescent="0.25">
      <c r="B17" s="52"/>
      <c r="C17" s="38" t="s">
        <v>33</v>
      </c>
      <c r="D17" s="53"/>
      <c r="E17" s="52"/>
      <c r="F17" s="53"/>
      <c r="G17" s="52"/>
      <c r="H17" s="54"/>
      <c r="I17" s="70"/>
      <c r="J17" s="70"/>
      <c r="K17" s="49"/>
    </row>
    <row r="18" spans="2:17" x14ac:dyDescent="0.25">
      <c r="B18" s="52"/>
      <c r="C18" s="38" t="s">
        <v>34</v>
      </c>
      <c r="D18" s="53"/>
      <c r="E18" s="52"/>
      <c r="F18" s="53"/>
      <c r="G18" s="52"/>
      <c r="H18" s="54"/>
      <c r="I18" s="70"/>
      <c r="J18" s="70"/>
      <c r="K18" s="49"/>
    </row>
    <row r="19" spans="2:17" x14ac:dyDescent="0.25">
      <c r="B19" s="52"/>
      <c r="C19" s="69"/>
      <c r="D19" s="53"/>
      <c r="E19" s="52"/>
      <c r="F19" s="53"/>
      <c r="G19" s="52"/>
      <c r="H19" s="54"/>
      <c r="I19" s="70"/>
      <c r="J19" s="70"/>
      <c r="K19" s="49"/>
    </row>
    <row r="20" spans="2:17" x14ac:dyDescent="0.25">
      <c r="B20" s="71" t="s">
        <v>21</v>
      </c>
      <c r="C20" s="68"/>
      <c r="D20" s="68"/>
      <c r="E20" s="68"/>
      <c r="F20" s="68"/>
      <c r="G20" s="68"/>
      <c r="H20" s="68"/>
      <c r="I20" s="68"/>
      <c r="J20" s="68"/>
      <c r="K20" s="68"/>
      <c r="L20" s="68"/>
      <c r="M20" s="68"/>
    </row>
    <row r="21" spans="2:17" x14ac:dyDescent="0.25">
      <c r="B21" s="72" t="s">
        <v>22</v>
      </c>
    </row>
    <row r="22" spans="2:17" x14ac:dyDescent="0.25">
      <c r="O22" s="80" t="s">
        <v>75</v>
      </c>
      <c r="Q22" s="87" t="s">
        <v>76</v>
      </c>
    </row>
    <row r="23" spans="2:17" x14ac:dyDescent="0.25">
      <c r="C23" s="73">
        <f>'July 2017'!C20+0.04</f>
        <v>0.24634939357852148</v>
      </c>
      <c r="D23" s="72" t="s">
        <v>23</v>
      </c>
      <c r="F23" s="72"/>
      <c r="J23" s="74"/>
      <c r="O23" s="80" t="s">
        <v>63</v>
      </c>
      <c r="Q23" s="96">
        <f>C23</f>
        <v>0.24634939357852148</v>
      </c>
    </row>
    <row r="24" spans="2:17" x14ac:dyDescent="0.25">
      <c r="C24" s="73">
        <f>'July 2017'!C21+0.03</f>
        <v>0.30151235997173875</v>
      </c>
      <c r="D24" s="72" t="s">
        <v>24</v>
      </c>
      <c r="F24" s="72"/>
      <c r="J24" s="74"/>
      <c r="O24" s="80" t="s">
        <v>64</v>
      </c>
      <c r="Q24" s="96">
        <f t="shared" ref="Q24:Q26" si="0">C24</f>
        <v>0.30151235997173875</v>
      </c>
    </row>
    <row r="25" spans="2:17" x14ac:dyDescent="0.25">
      <c r="C25" s="73">
        <f>'July 2017'!C22+0.03</f>
        <v>0.40167025276131352</v>
      </c>
      <c r="D25" s="72" t="s">
        <v>25</v>
      </c>
      <c r="F25" s="72"/>
      <c r="J25" s="74"/>
      <c r="O25" s="80" t="s">
        <v>65</v>
      </c>
      <c r="Q25" s="96">
        <f t="shared" si="0"/>
        <v>0.40167025276131352</v>
      </c>
    </row>
    <row r="26" spans="2:17" x14ac:dyDescent="0.25">
      <c r="C26" s="73">
        <f>'July 2017'!C23+0.03</f>
        <v>0.49700125915139071</v>
      </c>
      <c r="D26" s="72" t="s">
        <v>26</v>
      </c>
      <c r="F26" s="72"/>
      <c r="J26" s="74"/>
      <c r="O26" s="80" t="s">
        <v>66</v>
      </c>
      <c r="Q26" s="96">
        <f t="shared" si="0"/>
        <v>0.49700125915139071</v>
      </c>
    </row>
    <row r="28" spans="2:17" x14ac:dyDescent="0.25">
      <c r="B28" s="92" t="s">
        <v>67</v>
      </c>
    </row>
    <row r="29" spans="2:17" x14ac:dyDescent="0.25">
      <c r="B29" s="38" t="s">
        <v>38</v>
      </c>
    </row>
    <row r="32" spans="2:17" ht="15.75" x14ac:dyDescent="0.2">
      <c r="B32" s="75"/>
      <c r="C32" s="56"/>
    </row>
    <row r="33" spans="2:3" ht="12.75" x14ac:dyDescent="0.2">
      <c r="B33" s="56"/>
    </row>
    <row r="34" spans="2:3" ht="15.75" x14ac:dyDescent="0.2">
      <c r="B34" s="75"/>
      <c r="C34" s="56"/>
    </row>
  </sheetData>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4"/>
  <sheetViews>
    <sheetView workbookViewId="0">
      <selection activeCell="J35" sqref="J35"/>
    </sheetView>
  </sheetViews>
  <sheetFormatPr defaultColWidth="9.109375" defaultRowHeight="13.2" x14ac:dyDescent="0.25"/>
  <cols>
    <col min="1" max="1" width="2.5546875" style="38" customWidth="1"/>
    <col min="2" max="2" width="8.44140625" style="41" customWidth="1"/>
    <col min="3" max="3" width="7" style="41" customWidth="1"/>
    <col min="4" max="4" width="6.33203125" style="41" customWidth="1"/>
    <col min="5" max="5" width="9" style="41" bestFit="1" customWidth="1"/>
    <col min="6" max="6" width="4.6640625" style="41" hidden="1" customWidth="1"/>
    <col min="7" max="7" width="7.5546875" style="41" customWidth="1"/>
    <col min="8" max="8" width="8.44140625" style="41" customWidth="1"/>
    <col min="9" max="9" width="10" style="41" customWidth="1"/>
    <col min="10" max="10" width="10.5546875" style="41" customWidth="1"/>
    <col min="11" max="11" width="6.6640625" style="41" bestFit="1" customWidth="1"/>
    <col min="12" max="12" width="14.33203125" style="41" customWidth="1"/>
    <col min="13" max="13" width="5.109375" style="38" customWidth="1"/>
    <col min="14" max="14" width="9.109375" style="38"/>
    <col min="15" max="15" width="8.88671875" style="80" hidden="1" customWidth="1"/>
    <col min="16" max="16" width="26.88671875" style="80" hidden="1" customWidth="1"/>
    <col min="17" max="17" width="7.5546875" style="86" hidden="1" customWidth="1"/>
    <col min="18" max="16384" width="9.109375" style="38"/>
  </cols>
  <sheetData>
    <row r="1" spans="1:17" x14ac:dyDescent="0.25">
      <c r="A1" s="37" t="s">
        <v>31</v>
      </c>
    </row>
    <row r="2" spans="1:17" x14ac:dyDescent="0.25">
      <c r="A2" s="37" t="s">
        <v>30</v>
      </c>
    </row>
    <row r="3" spans="1:17" s="41" customFormat="1" x14ac:dyDescent="0.25">
      <c r="A3" s="40" t="s">
        <v>0</v>
      </c>
      <c r="D3" s="42"/>
      <c r="E3" s="42"/>
      <c r="F3" s="42"/>
      <c r="G3" s="43"/>
      <c r="H3" s="43"/>
      <c r="I3" s="43"/>
      <c r="J3" s="43"/>
      <c r="K3" s="43"/>
      <c r="L3" s="43"/>
      <c r="M3" s="43"/>
      <c r="O3" s="81"/>
      <c r="P3" s="81"/>
      <c r="Q3" s="86"/>
    </row>
    <row r="4" spans="1:17" s="41" customFormat="1" x14ac:dyDescent="0.25">
      <c r="A4" s="40" t="s">
        <v>77</v>
      </c>
      <c r="D4" s="42"/>
      <c r="E4" s="42"/>
      <c r="F4" s="42"/>
      <c r="G4" s="43"/>
      <c r="H4" s="43"/>
      <c r="I4" s="43"/>
      <c r="O4" s="81"/>
      <c r="P4" s="81"/>
      <c r="Q4" s="86"/>
    </row>
    <row r="5" spans="1:17" x14ac:dyDescent="0.25">
      <c r="A5" s="37"/>
    </row>
    <row r="6" spans="1:17" x14ac:dyDescent="0.25">
      <c r="A6" s="37" t="s">
        <v>48</v>
      </c>
    </row>
    <row r="7" spans="1:17" x14ac:dyDescent="0.25">
      <c r="C7" s="40"/>
      <c r="D7" s="44"/>
      <c r="E7" s="42"/>
      <c r="F7" s="44"/>
      <c r="G7" s="42"/>
      <c r="H7" s="45"/>
      <c r="I7" s="45"/>
      <c r="J7" s="45"/>
      <c r="K7" s="45"/>
    </row>
    <row r="8" spans="1:17" ht="27" thickBot="1" x14ac:dyDescent="0.3">
      <c r="B8" s="46" t="s">
        <v>3</v>
      </c>
      <c r="C8" s="46" t="s">
        <v>4</v>
      </c>
      <c r="D8" s="46" t="s">
        <v>5</v>
      </c>
      <c r="E8" s="47" t="s">
        <v>32</v>
      </c>
      <c r="F8" s="46" t="s">
        <v>7</v>
      </c>
      <c r="G8" s="46" t="s">
        <v>45</v>
      </c>
      <c r="H8" s="46" t="s">
        <v>46</v>
      </c>
      <c r="I8" s="46" t="s">
        <v>10</v>
      </c>
      <c r="J8" s="48"/>
      <c r="K8" s="48"/>
      <c r="L8" s="89"/>
      <c r="O8" s="83" t="s">
        <v>3</v>
      </c>
      <c r="P8" s="83" t="s">
        <v>59</v>
      </c>
      <c r="Q8" s="87" t="s">
        <v>60</v>
      </c>
    </row>
    <row r="9" spans="1:17" x14ac:dyDescent="0.25">
      <c r="B9" s="50" t="s">
        <v>11</v>
      </c>
      <c r="C9" s="90" t="s">
        <v>12</v>
      </c>
      <c r="D9" s="52" t="s">
        <v>13</v>
      </c>
      <c r="E9" s="53" t="s">
        <v>29</v>
      </c>
      <c r="F9" s="52">
        <v>313</v>
      </c>
      <c r="G9" s="50">
        <v>6</v>
      </c>
      <c r="H9" s="52" t="s">
        <v>15</v>
      </c>
      <c r="I9" s="54">
        <f>((('July 2020'!I9+0.41))-0.42)</f>
        <v>33.417849034779671</v>
      </c>
      <c r="O9" s="83" t="str">
        <f>B9</f>
        <v>06460C</v>
      </c>
      <c r="P9" s="84" t="str">
        <f>C9</f>
        <v>01</v>
      </c>
      <c r="Q9" s="85">
        <f>I9</f>
        <v>33.417849034779671</v>
      </c>
    </row>
    <row r="10" spans="1:17" s="56" customFormat="1" x14ac:dyDescent="0.25">
      <c r="B10" s="61"/>
      <c r="C10" s="61"/>
      <c r="D10" s="61"/>
      <c r="E10" s="61"/>
      <c r="F10" s="61"/>
      <c r="G10" s="61"/>
      <c r="H10" s="57"/>
      <c r="I10" s="61"/>
      <c r="J10" s="61"/>
      <c r="K10" s="61"/>
      <c r="L10" s="61"/>
      <c r="O10" s="82"/>
      <c r="P10" s="82"/>
      <c r="Q10" s="88"/>
    </row>
    <row r="11" spans="1:17" s="56" customFormat="1" x14ac:dyDescent="0.25">
      <c r="B11" s="61"/>
      <c r="C11" s="61"/>
      <c r="D11" s="61"/>
      <c r="E11" s="61"/>
      <c r="F11" s="61"/>
      <c r="G11" s="61"/>
      <c r="H11" s="58"/>
      <c r="I11" s="61"/>
      <c r="J11" s="61"/>
      <c r="K11" s="61"/>
      <c r="L11" s="61"/>
      <c r="O11" s="82"/>
      <c r="P11" s="82"/>
      <c r="Q11" s="88"/>
    </row>
    <row r="12" spans="1:17" s="56" customFormat="1" x14ac:dyDescent="0.25">
      <c r="B12" s="59" t="s">
        <v>43</v>
      </c>
      <c r="C12" s="61"/>
      <c r="D12" s="61"/>
      <c r="E12" s="61"/>
      <c r="F12" s="61"/>
      <c r="G12" s="61"/>
      <c r="H12" s="60"/>
      <c r="I12" s="61"/>
      <c r="J12" s="61"/>
      <c r="K12" s="61"/>
      <c r="L12" s="61"/>
      <c r="O12" s="82"/>
      <c r="P12" s="82"/>
      <c r="Q12" s="88">
        <v>0.42</v>
      </c>
    </row>
    <row r="13" spans="1:17" s="56" customFormat="1" x14ac:dyDescent="0.25">
      <c r="B13" s="61"/>
      <c r="C13" s="61" t="s">
        <v>17</v>
      </c>
      <c r="D13" s="61"/>
      <c r="E13" s="61"/>
      <c r="F13" s="61"/>
      <c r="G13" s="61"/>
      <c r="H13" s="60"/>
      <c r="I13" s="61"/>
      <c r="J13" s="61"/>
      <c r="K13" s="61"/>
      <c r="L13" s="61"/>
      <c r="O13" s="82"/>
      <c r="P13" s="82"/>
      <c r="Q13" s="88"/>
    </row>
    <row r="14" spans="1:17" s="56" customFormat="1" x14ac:dyDescent="0.25">
      <c r="B14" s="61"/>
      <c r="C14" s="61"/>
      <c r="D14" s="61"/>
      <c r="E14" s="61"/>
      <c r="F14" s="61"/>
      <c r="G14" s="61"/>
      <c r="H14" s="60"/>
      <c r="I14" s="61"/>
      <c r="J14" s="61"/>
      <c r="K14" s="61"/>
      <c r="L14" s="61"/>
      <c r="M14" s="62"/>
      <c r="O14" s="82"/>
      <c r="P14" s="82"/>
      <c r="Q14" s="88"/>
    </row>
    <row r="15" spans="1:17" x14ac:dyDescent="0.25">
      <c r="B15" s="63" t="s">
        <v>35</v>
      </c>
      <c r="C15" s="64"/>
      <c r="D15" s="65"/>
      <c r="E15" s="66"/>
      <c r="F15" s="65"/>
      <c r="G15" s="66"/>
      <c r="H15" s="67"/>
      <c r="I15" s="66"/>
      <c r="J15" s="66"/>
      <c r="K15" s="91"/>
      <c r="L15" s="91"/>
      <c r="M15" s="49"/>
      <c r="O15" s="82" t="s">
        <v>57</v>
      </c>
      <c r="P15" s="82" t="s">
        <v>58</v>
      </c>
      <c r="Q15" s="86">
        <v>0.4</v>
      </c>
    </row>
    <row r="16" spans="1:17" x14ac:dyDescent="0.25">
      <c r="B16" s="52"/>
      <c r="C16" s="69" t="s">
        <v>36</v>
      </c>
      <c r="D16" s="53"/>
      <c r="E16" s="52"/>
      <c r="F16" s="53"/>
      <c r="G16" s="52"/>
      <c r="H16" s="54"/>
      <c r="I16" s="70"/>
      <c r="J16" s="70"/>
      <c r="K16" s="89"/>
      <c r="M16" s="49"/>
      <c r="O16" s="82" t="s">
        <v>61</v>
      </c>
      <c r="P16" s="82" t="s">
        <v>62</v>
      </c>
      <c r="Q16" s="86">
        <v>0.4</v>
      </c>
    </row>
    <row r="17" spans="2:17" x14ac:dyDescent="0.25">
      <c r="B17" s="52"/>
      <c r="C17" s="41" t="s">
        <v>33</v>
      </c>
      <c r="D17" s="53"/>
      <c r="E17" s="52"/>
      <c r="F17" s="53"/>
      <c r="G17" s="52"/>
      <c r="H17" s="54"/>
      <c r="I17" s="70"/>
      <c r="J17" s="70"/>
      <c r="K17" s="89"/>
      <c r="M17" s="49"/>
    </row>
    <row r="18" spans="2:17" x14ac:dyDescent="0.25">
      <c r="B18" s="52"/>
      <c r="C18" s="41" t="s">
        <v>34</v>
      </c>
      <c r="D18" s="53"/>
      <c r="E18" s="52"/>
      <c r="F18" s="53"/>
      <c r="G18" s="52"/>
      <c r="H18" s="54"/>
      <c r="I18" s="70"/>
      <c r="J18" s="70"/>
      <c r="K18" s="89"/>
      <c r="M18" s="49"/>
    </row>
    <row r="19" spans="2:17" x14ac:dyDescent="0.25">
      <c r="B19" s="52"/>
      <c r="D19" s="53"/>
      <c r="E19" s="52"/>
      <c r="F19" s="53"/>
      <c r="G19" s="52"/>
      <c r="H19" s="54"/>
      <c r="I19" s="70"/>
      <c r="J19" s="70"/>
      <c r="K19" s="89"/>
      <c r="M19" s="49"/>
    </row>
    <row r="20" spans="2:17" x14ac:dyDescent="0.25">
      <c r="B20" s="71" t="s">
        <v>21</v>
      </c>
      <c r="C20" s="91"/>
      <c r="D20" s="91"/>
      <c r="E20" s="91"/>
      <c r="F20" s="91"/>
      <c r="G20" s="91"/>
      <c r="H20" s="91"/>
      <c r="I20" s="91"/>
      <c r="J20" s="91"/>
      <c r="K20" s="91"/>
      <c r="L20" s="91"/>
      <c r="M20" s="49"/>
    </row>
    <row r="21" spans="2:17" x14ac:dyDescent="0.25">
      <c r="B21" s="72" t="s">
        <v>22</v>
      </c>
      <c r="M21" s="49"/>
    </row>
    <row r="22" spans="2:17" x14ac:dyDescent="0.25">
      <c r="O22" s="80" t="s">
        <v>75</v>
      </c>
      <c r="Q22" s="87" t="s">
        <v>76</v>
      </c>
    </row>
    <row r="23" spans="2:17" x14ac:dyDescent="0.25">
      <c r="C23" s="73">
        <f>'July 2017'!C20+0.04</f>
        <v>0.24634939357852148</v>
      </c>
      <c r="D23" s="72" t="s">
        <v>23</v>
      </c>
      <c r="F23" s="72"/>
      <c r="J23" s="73"/>
      <c r="O23" s="80" t="s">
        <v>63</v>
      </c>
      <c r="Q23" s="96">
        <f>C23</f>
        <v>0.24634939357852148</v>
      </c>
    </row>
    <row r="24" spans="2:17" x14ac:dyDescent="0.25">
      <c r="C24" s="73">
        <f>'July 2017'!C21+0.03</f>
        <v>0.30151235997173875</v>
      </c>
      <c r="D24" s="72" t="s">
        <v>24</v>
      </c>
      <c r="F24" s="72"/>
      <c r="J24" s="73"/>
      <c r="O24" s="80" t="s">
        <v>64</v>
      </c>
      <c r="Q24" s="96">
        <f t="shared" ref="Q24:Q26" si="0">C24</f>
        <v>0.30151235997173875</v>
      </c>
    </row>
    <row r="25" spans="2:17" x14ac:dyDescent="0.25">
      <c r="C25" s="73">
        <f>'July 2017'!C22+0.03</f>
        <v>0.40167025276131352</v>
      </c>
      <c r="D25" s="72" t="s">
        <v>25</v>
      </c>
      <c r="F25" s="72"/>
      <c r="J25" s="73"/>
      <c r="O25" s="80" t="s">
        <v>65</v>
      </c>
      <c r="Q25" s="96">
        <f t="shared" si="0"/>
        <v>0.40167025276131352</v>
      </c>
    </row>
    <row r="26" spans="2:17" x14ac:dyDescent="0.25">
      <c r="C26" s="73">
        <f>'July 2017'!C23+0.03</f>
        <v>0.49700125915139071</v>
      </c>
      <c r="D26" s="72" t="s">
        <v>26</v>
      </c>
      <c r="F26" s="72"/>
      <c r="J26" s="73"/>
      <c r="O26" s="80" t="s">
        <v>66</v>
      </c>
      <c r="Q26" s="96">
        <f t="shared" si="0"/>
        <v>0.49700125915139071</v>
      </c>
    </row>
    <row r="28" spans="2:17" x14ac:dyDescent="0.25">
      <c r="B28" s="92" t="s">
        <v>67</v>
      </c>
    </row>
    <row r="29" spans="2:17" x14ac:dyDescent="0.25">
      <c r="B29" s="41" t="s">
        <v>38</v>
      </c>
    </row>
    <row r="32" spans="2:17" ht="12.75" x14ac:dyDescent="0.2">
      <c r="B32" s="93"/>
      <c r="C32" s="61"/>
    </row>
    <row r="33" spans="2:3" ht="12.75" x14ac:dyDescent="0.2">
      <c r="B33" s="61"/>
    </row>
    <row r="34" spans="2:3" ht="12.75" x14ac:dyDescent="0.2">
      <c r="B34" s="93"/>
      <c r="C34" s="61"/>
    </row>
  </sheetData>
  <pageMargins left="0.7" right="0.7" top="0.75" bottom="0.75" header="0.3" footer="0.3"/>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EE68A-E229-4428-9D1A-74FB886ED46B}">
  <dimension ref="A1:Q34"/>
  <sheetViews>
    <sheetView workbookViewId="0">
      <selection activeCell="A5" sqref="A5"/>
    </sheetView>
  </sheetViews>
  <sheetFormatPr defaultColWidth="9.109375" defaultRowHeight="13.2" x14ac:dyDescent="0.25"/>
  <cols>
    <col min="1" max="1" width="2.5546875" style="38" customWidth="1"/>
    <col min="2" max="2" width="8.44140625" style="41" customWidth="1"/>
    <col min="3" max="3" width="7" style="41" customWidth="1"/>
    <col min="4" max="4" width="6.33203125" style="41" customWidth="1"/>
    <col min="5" max="5" width="9" style="41" bestFit="1" customWidth="1"/>
    <col min="6" max="6" width="4.6640625" style="41" hidden="1" customWidth="1"/>
    <col min="7" max="7" width="7.5546875" style="41" customWidth="1"/>
    <col min="8" max="8" width="8.44140625" style="41" customWidth="1"/>
    <col min="9" max="9" width="10" style="41" customWidth="1"/>
    <col min="10" max="10" width="10.5546875" style="41" customWidth="1"/>
    <col min="11" max="11" width="6.6640625" style="41" bestFit="1" customWidth="1"/>
    <col min="12" max="12" width="14.33203125" style="41" customWidth="1"/>
    <col min="13" max="13" width="5.109375" style="38" customWidth="1"/>
    <col min="14" max="14" width="9.109375" style="38"/>
    <col min="15" max="15" width="17.44140625" style="80" bestFit="1" customWidth="1"/>
    <col min="16" max="16" width="26.88671875" style="80" bestFit="1" customWidth="1"/>
    <col min="17" max="17" width="8.33203125" style="86" bestFit="1" customWidth="1"/>
    <col min="18" max="16384" width="9.109375" style="38"/>
  </cols>
  <sheetData>
    <row r="1" spans="1:17" x14ac:dyDescent="0.25">
      <c r="A1" s="37" t="s">
        <v>31</v>
      </c>
      <c r="P1" s="95" t="s">
        <v>68</v>
      </c>
      <c r="Q1" s="94">
        <v>1.0249999999999999</v>
      </c>
    </row>
    <row r="2" spans="1:17" x14ac:dyDescent="0.25">
      <c r="A2" s="37" t="s">
        <v>30</v>
      </c>
    </row>
    <row r="3" spans="1:17" s="41" customFormat="1" x14ac:dyDescent="0.25">
      <c r="A3" s="40" t="s">
        <v>0</v>
      </c>
      <c r="D3" s="42"/>
      <c r="E3" s="42"/>
      <c r="F3" s="42"/>
      <c r="G3" s="43"/>
      <c r="H3" s="43"/>
      <c r="I3" s="43"/>
      <c r="J3" s="43"/>
      <c r="K3" s="43"/>
      <c r="L3" s="43"/>
      <c r="M3" s="43"/>
      <c r="O3" s="81"/>
      <c r="P3" s="81"/>
      <c r="Q3" s="86"/>
    </row>
    <row r="4" spans="1:17" s="41" customFormat="1" x14ac:dyDescent="0.25">
      <c r="A4" s="40" t="s">
        <v>70</v>
      </c>
      <c r="D4" s="42"/>
      <c r="E4" s="42"/>
      <c r="F4" s="42"/>
      <c r="G4" s="43"/>
      <c r="H4" s="43"/>
      <c r="I4" s="43"/>
      <c r="O4" s="81"/>
      <c r="P4" s="81"/>
      <c r="Q4" s="86"/>
    </row>
    <row r="5" spans="1:17" x14ac:dyDescent="0.25">
      <c r="A5" s="37"/>
    </row>
    <row r="6" spans="1:17" x14ac:dyDescent="0.25">
      <c r="A6" s="37" t="s">
        <v>48</v>
      </c>
    </row>
    <row r="7" spans="1:17" x14ac:dyDescent="0.25">
      <c r="C7" s="40"/>
      <c r="D7" s="44"/>
      <c r="E7" s="42"/>
      <c r="F7" s="44"/>
      <c r="G7" s="42"/>
      <c r="H7" s="45"/>
      <c r="I7" s="45"/>
      <c r="J7" s="45"/>
      <c r="K7" s="45"/>
      <c r="O7" s="80" t="s">
        <v>69</v>
      </c>
      <c r="Q7" s="86">
        <v>0.43</v>
      </c>
    </row>
    <row r="8" spans="1:17" ht="27" thickBot="1" x14ac:dyDescent="0.3">
      <c r="B8" s="46" t="s">
        <v>3</v>
      </c>
      <c r="C8" s="46" t="s">
        <v>4</v>
      </c>
      <c r="D8" s="46" t="s">
        <v>5</v>
      </c>
      <c r="E8" s="47" t="s">
        <v>32</v>
      </c>
      <c r="F8" s="46" t="s">
        <v>7</v>
      </c>
      <c r="G8" s="46" t="s">
        <v>45</v>
      </c>
      <c r="H8" s="46" t="s">
        <v>46</v>
      </c>
      <c r="I8" s="46" t="s">
        <v>10</v>
      </c>
      <c r="J8" s="48"/>
      <c r="K8" s="48"/>
      <c r="L8" s="89"/>
      <c r="O8" s="83" t="s">
        <v>3</v>
      </c>
      <c r="P8" s="83" t="s">
        <v>59</v>
      </c>
      <c r="Q8" s="87" t="s">
        <v>60</v>
      </c>
    </row>
    <row r="9" spans="1:17" x14ac:dyDescent="0.25">
      <c r="B9" s="50" t="s">
        <v>11</v>
      </c>
      <c r="C9" s="90" t="s">
        <v>12</v>
      </c>
      <c r="D9" s="52" t="s">
        <v>13</v>
      </c>
      <c r="E9" s="53" t="s">
        <v>29</v>
      </c>
      <c r="F9" s="52">
        <v>313</v>
      </c>
      <c r="G9" s="50">
        <v>6</v>
      </c>
      <c r="H9" s="52" t="s">
        <v>15</v>
      </c>
      <c r="I9" s="54">
        <f>((('October 2019'!I9+0.41)*1.025)-0.42)</f>
        <v>33.417849034779671</v>
      </c>
      <c r="O9" s="83" t="s">
        <v>11</v>
      </c>
      <c r="P9" s="84" t="s">
        <v>12</v>
      </c>
      <c r="Q9" s="85">
        <f>((VLOOKUP(O9,Rates2020,3,0)+(Q7-1))*IncrPerc2021)-Q7</f>
        <v>33.239045260649156</v>
      </c>
    </row>
    <row r="10" spans="1:17" s="56" customFormat="1" x14ac:dyDescent="0.25">
      <c r="B10" s="61"/>
      <c r="C10" s="61"/>
      <c r="D10" s="61"/>
      <c r="E10" s="61"/>
      <c r="F10" s="61"/>
      <c r="G10" s="61"/>
      <c r="H10" s="57"/>
      <c r="I10" s="61"/>
      <c r="J10" s="61"/>
      <c r="K10" s="61"/>
      <c r="L10" s="61"/>
      <c r="O10" s="82"/>
      <c r="P10" s="82"/>
      <c r="Q10" s="88"/>
    </row>
    <row r="11" spans="1:17" s="56" customFormat="1" x14ac:dyDescent="0.25">
      <c r="B11" s="61"/>
      <c r="C11" s="61"/>
      <c r="D11" s="61"/>
      <c r="E11" s="61"/>
      <c r="F11" s="61"/>
      <c r="G11" s="61"/>
      <c r="H11" s="58"/>
      <c r="I11" s="61"/>
      <c r="J11" s="61"/>
      <c r="K11" s="61"/>
      <c r="L11" s="61"/>
      <c r="O11" s="82"/>
      <c r="P11" s="82"/>
      <c r="Q11" s="88"/>
    </row>
    <row r="12" spans="1:17" s="56" customFormat="1" x14ac:dyDescent="0.25">
      <c r="B12" s="59" t="s">
        <v>43</v>
      </c>
      <c r="C12" s="61"/>
      <c r="D12" s="61"/>
      <c r="E12" s="61"/>
      <c r="F12" s="61"/>
      <c r="G12" s="61"/>
      <c r="H12" s="60"/>
      <c r="I12" s="61"/>
      <c r="J12" s="61"/>
      <c r="K12" s="61"/>
      <c r="L12" s="61"/>
      <c r="O12" s="82"/>
      <c r="P12" s="82"/>
      <c r="Q12" s="88">
        <v>0.42</v>
      </c>
    </row>
    <row r="13" spans="1:17" s="56" customFormat="1" x14ac:dyDescent="0.25">
      <c r="B13" s="61"/>
      <c r="C13" s="61" t="s">
        <v>17</v>
      </c>
      <c r="D13" s="61"/>
      <c r="E13" s="61"/>
      <c r="F13" s="61"/>
      <c r="G13" s="61"/>
      <c r="H13" s="60"/>
      <c r="I13" s="61"/>
      <c r="J13" s="61"/>
      <c r="K13" s="61"/>
      <c r="L13" s="61"/>
      <c r="O13" s="82"/>
      <c r="P13" s="82"/>
      <c r="Q13" s="88"/>
    </row>
    <row r="14" spans="1:17" s="56" customFormat="1" x14ac:dyDescent="0.25">
      <c r="B14" s="61"/>
      <c r="C14" s="61"/>
      <c r="D14" s="61"/>
      <c r="E14" s="61"/>
      <c r="F14" s="61"/>
      <c r="G14" s="61"/>
      <c r="H14" s="60"/>
      <c r="I14" s="61"/>
      <c r="J14" s="61"/>
      <c r="K14" s="61"/>
      <c r="L14" s="61"/>
      <c r="M14" s="62"/>
      <c r="O14" s="82"/>
      <c r="P14" s="82"/>
      <c r="Q14" s="88"/>
    </row>
    <row r="15" spans="1:17" x14ac:dyDescent="0.25">
      <c r="B15" s="63" t="s">
        <v>35</v>
      </c>
      <c r="C15" s="64"/>
      <c r="D15" s="65"/>
      <c r="E15" s="66"/>
      <c r="F15" s="65"/>
      <c r="G15" s="66"/>
      <c r="H15" s="67"/>
      <c r="I15" s="66"/>
      <c r="J15" s="66"/>
      <c r="K15" s="91"/>
      <c r="L15" s="91"/>
      <c r="M15" s="49"/>
      <c r="O15" s="82" t="s">
        <v>57</v>
      </c>
      <c r="P15" s="82" t="s">
        <v>58</v>
      </c>
      <c r="Q15" s="86">
        <v>0.4</v>
      </c>
    </row>
    <row r="16" spans="1:17" x14ac:dyDescent="0.25">
      <c r="B16" s="52"/>
      <c r="C16" s="69" t="s">
        <v>36</v>
      </c>
      <c r="D16" s="53"/>
      <c r="E16" s="52"/>
      <c r="F16" s="53"/>
      <c r="G16" s="52"/>
      <c r="H16" s="54"/>
      <c r="I16" s="70"/>
      <c r="J16" s="70"/>
      <c r="K16" s="89"/>
      <c r="M16" s="49"/>
      <c r="O16" s="82" t="s">
        <v>61</v>
      </c>
      <c r="P16" s="82" t="s">
        <v>62</v>
      </c>
      <c r="Q16" s="86">
        <v>0.4</v>
      </c>
    </row>
    <row r="17" spans="2:17" x14ac:dyDescent="0.25">
      <c r="B17" s="52"/>
      <c r="C17" s="41" t="s">
        <v>33</v>
      </c>
      <c r="D17" s="53"/>
      <c r="E17" s="52"/>
      <c r="F17" s="53"/>
      <c r="G17" s="52"/>
      <c r="H17" s="54"/>
      <c r="I17" s="70"/>
      <c r="J17" s="70"/>
      <c r="K17" s="89"/>
      <c r="M17" s="49"/>
    </row>
    <row r="18" spans="2:17" x14ac:dyDescent="0.25">
      <c r="B18" s="52"/>
      <c r="C18" s="41" t="s">
        <v>34</v>
      </c>
      <c r="D18" s="53"/>
      <c r="E18" s="52"/>
      <c r="F18" s="53"/>
      <c r="G18" s="52"/>
      <c r="H18" s="54"/>
      <c r="I18" s="70"/>
      <c r="J18" s="70"/>
      <c r="K18" s="89"/>
      <c r="M18" s="49"/>
    </row>
    <row r="19" spans="2:17" x14ac:dyDescent="0.25">
      <c r="B19" s="52"/>
      <c r="D19" s="53"/>
      <c r="E19" s="52"/>
      <c r="F19" s="53"/>
      <c r="G19" s="52"/>
      <c r="H19" s="54"/>
      <c r="I19" s="70"/>
      <c r="J19" s="70"/>
      <c r="K19" s="89"/>
      <c r="M19" s="49"/>
    </row>
    <row r="20" spans="2:17" x14ac:dyDescent="0.25">
      <c r="B20" s="71" t="s">
        <v>21</v>
      </c>
      <c r="C20" s="91"/>
      <c r="D20" s="91"/>
      <c r="E20" s="91"/>
      <c r="F20" s="91"/>
      <c r="G20" s="91"/>
      <c r="H20" s="91"/>
      <c r="I20" s="91"/>
      <c r="J20" s="91"/>
      <c r="K20" s="91"/>
      <c r="L20" s="91"/>
      <c r="M20" s="49"/>
    </row>
    <row r="21" spans="2:17" x14ac:dyDescent="0.25">
      <c r="B21" s="72" t="s">
        <v>22</v>
      </c>
      <c r="M21" s="49"/>
    </row>
    <row r="23" spans="2:17" x14ac:dyDescent="0.25">
      <c r="C23" s="73">
        <f>'July 2017'!C20+0.04</f>
        <v>0.24634939357852148</v>
      </c>
      <c r="D23" s="72" t="s">
        <v>23</v>
      </c>
      <c r="F23" s="72"/>
      <c r="J23" s="73"/>
      <c r="O23" s="80" t="s">
        <v>63</v>
      </c>
      <c r="Q23" s="86">
        <f>C23</f>
        <v>0.24634939357852148</v>
      </c>
    </row>
    <row r="24" spans="2:17" x14ac:dyDescent="0.25">
      <c r="C24" s="73">
        <f>'July 2017'!C21+0.03</f>
        <v>0.30151235997173875</v>
      </c>
      <c r="D24" s="72" t="s">
        <v>24</v>
      </c>
      <c r="F24" s="72"/>
      <c r="J24" s="73"/>
      <c r="O24" s="80" t="s">
        <v>64</v>
      </c>
      <c r="Q24" s="86">
        <f t="shared" ref="Q24:Q26" si="0">C24</f>
        <v>0.30151235997173875</v>
      </c>
    </row>
    <row r="25" spans="2:17" x14ac:dyDescent="0.25">
      <c r="C25" s="73">
        <f>'July 2017'!C22+0.03</f>
        <v>0.40167025276131352</v>
      </c>
      <c r="D25" s="72" t="s">
        <v>25</v>
      </c>
      <c r="F25" s="72"/>
      <c r="J25" s="73"/>
      <c r="O25" s="80" t="s">
        <v>65</v>
      </c>
      <c r="Q25" s="86">
        <f t="shared" si="0"/>
        <v>0.40167025276131352</v>
      </c>
    </row>
    <row r="26" spans="2:17" x14ac:dyDescent="0.25">
      <c r="C26" s="73">
        <f>'July 2017'!C23+0.03</f>
        <v>0.49700125915139071</v>
      </c>
      <c r="D26" s="72" t="s">
        <v>26</v>
      </c>
      <c r="F26" s="72"/>
      <c r="J26" s="73"/>
      <c r="O26" s="80" t="s">
        <v>66</v>
      </c>
      <c r="Q26" s="86">
        <f t="shared" si="0"/>
        <v>0.49700125915139071</v>
      </c>
    </row>
    <row r="28" spans="2:17" x14ac:dyDescent="0.25">
      <c r="B28" s="92" t="s">
        <v>67</v>
      </c>
    </row>
    <row r="29" spans="2:17" x14ac:dyDescent="0.25">
      <c r="B29" s="41" t="s">
        <v>38</v>
      </c>
    </row>
    <row r="32" spans="2:17" ht="12.75" x14ac:dyDescent="0.2">
      <c r="B32" s="93"/>
      <c r="C32" s="61"/>
    </row>
    <row r="33" spans="2:3" ht="12.75" x14ac:dyDescent="0.2">
      <c r="B33" s="61"/>
    </row>
    <row r="34" spans="2:3" ht="12.75" x14ac:dyDescent="0.2">
      <c r="B34" s="93"/>
      <c r="C34" s="61"/>
    </row>
  </sheetData>
  <pageMargins left="0.7" right="0.7"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A5CD0-60B2-4C43-8E3F-5593CCB4737F}">
  <dimension ref="A1:Q34"/>
  <sheetViews>
    <sheetView workbookViewId="0">
      <selection activeCell="S16" sqref="S16"/>
    </sheetView>
  </sheetViews>
  <sheetFormatPr defaultColWidth="9.109375" defaultRowHeight="13.2" x14ac:dyDescent="0.25"/>
  <cols>
    <col min="1" max="1" width="2.5546875" style="38" customWidth="1"/>
    <col min="2" max="2" width="8.44140625" style="38" customWidth="1"/>
    <col min="3" max="3" width="7" style="38" customWidth="1"/>
    <col min="4" max="4" width="6.33203125" style="38" customWidth="1"/>
    <col min="5" max="5" width="11.88671875" style="38" customWidth="1"/>
    <col min="6" max="6" width="4.5546875" style="38" hidden="1" customWidth="1"/>
    <col min="7" max="7" width="6.88671875" style="38" customWidth="1"/>
    <col min="8" max="8" width="8.44140625" style="38" customWidth="1"/>
    <col min="9" max="9" width="10" style="38" customWidth="1"/>
    <col min="10" max="10" width="10.5546875" style="38" customWidth="1"/>
    <col min="11" max="11" width="6.6640625" style="38" bestFit="1" customWidth="1"/>
    <col min="12" max="12" width="14.33203125" style="38" customWidth="1"/>
    <col min="13" max="13" width="5.109375" style="38" customWidth="1"/>
    <col min="14" max="16" width="9.109375" style="38"/>
    <col min="17" max="17" width="9.109375" style="39"/>
    <col min="18" max="16384" width="9.109375" style="38"/>
  </cols>
  <sheetData>
    <row r="1" spans="1:17" x14ac:dyDescent="0.25">
      <c r="A1" s="37" t="s">
        <v>31</v>
      </c>
    </row>
    <row r="2" spans="1:17" x14ac:dyDescent="0.25">
      <c r="A2" s="37" t="s">
        <v>30</v>
      </c>
    </row>
    <row r="3" spans="1:17" s="41" customFormat="1" x14ac:dyDescent="0.25">
      <c r="A3" s="40" t="s">
        <v>0</v>
      </c>
      <c r="D3" s="42"/>
      <c r="E3" s="42"/>
      <c r="F3" s="42"/>
      <c r="G3" s="43"/>
      <c r="H3" s="43"/>
      <c r="I3" s="43"/>
      <c r="J3" s="43"/>
      <c r="K3" s="43"/>
      <c r="L3" s="43"/>
      <c r="M3" s="43"/>
      <c r="Q3" s="39"/>
    </row>
    <row r="4" spans="1:17" s="41" customFormat="1" x14ac:dyDescent="0.25">
      <c r="A4" s="40" t="s">
        <v>47</v>
      </c>
      <c r="D4" s="42"/>
      <c r="E4" s="42"/>
      <c r="F4" s="42"/>
      <c r="G4" s="43"/>
      <c r="H4" s="43"/>
      <c r="I4" s="43"/>
      <c r="Q4" s="39"/>
    </row>
    <row r="5" spans="1:17" x14ac:dyDescent="0.25">
      <c r="A5" s="37"/>
    </row>
    <row r="6" spans="1:17" x14ac:dyDescent="0.25">
      <c r="A6" s="37" t="s">
        <v>50</v>
      </c>
    </row>
    <row r="7" spans="1:17" x14ac:dyDescent="0.25">
      <c r="C7" s="40"/>
      <c r="D7" s="44"/>
      <c r="E7" s="42"/>
      <c r="F7" s="44"/>
      <c r="G7" s="42"/>
      <c r="H7" s="45"/>
      <c r="I7" s="45"/>
      <c r="J7" s="45"/>
      <c r="K7" s="45"/>
    </row>
    <row r="8" spans="1:17" ht="27" thickBot="1" x14ac:dyDescent="0.3">
      <c r="B8" s="46" t="s">
        <v>3</v>
      </c>
      <c r="C8" s="46" t="s">
        <v>4</v>
      </c>
      <c r="D8" s="46" t="s">
        <v>5</v>
      </c>
      <c r="E8" s="47" t="s">
        <v>32</v>
      </c>
      <c r="F8" s="46" t="s">
        <v>7</v>
      </c>
      <c r="G8" s="46" t="s">
        <v>45</v>
      </c>
      <c r="H8" s="46" t="s">
        <v>46</v>
      </c>
      <c r="I8" s="46" t="s">
        <v>10</v>
      </c>
      <c r="J8" s="48"/>
      <c r="K8" s="48"/>
      <c r="L8" s="49"/>
    </row>
    <row r="9" spans="1:17" x14ac:dyDescent="0.25">
      <c r="B9" s="50" t="s">
        <v>11</v>
      </c>
      <c r="C9" s="51" t="s">
        <v>12</v>
      </c>
      <c r="D9" s="52" t="s">
        <v>13</v>
      </c>
      <c r="E9" s="53" t="s">
        <v>29</v>
      </c>
      <c r="F9" s="52">
        <v>313</v>
      </c>
      <c r="G9" s="50">
        <v>6</v>
      </c>
      <c r="H9" s="52" t="s">
        <v>15</v>
      </c>
      <c r="I9" s="54">
        <f>((('October 2020'!I9+0.43)*1.025)-0.43)</f>
        <v>34.264045260649162</v>
      </c>
      <c r="Q9" s="55"/>
    </row>
    <row r="10" spans="1:17" s="56" customFormat="1" x14ac:dyDescent="0.25">
      <c r="H10" s="57"/>
      <c r="Q10" s="55"/>
    </row>
    <row r="11" spans="1:17" s="56" customFormat="1" x14ac:dyDescent="0.25">
      <c r="H11" s="58"/>
      <c r="Q11" s="55"/>
    </row>
    <row r="12" spans="1:17" s="56" customFormat="1" x14ac:dyDescent="0.25">
      <c r="B12" s="59" t="s">
        <v>44</v>
      </c>
      <c r="H12" s="60"/>
      <c r="Q12" s="55"/>
    </row>
    <row r="13" spans="1:17" s="56" customFormat="1" x14ac:dyDescent="0.25">
      <c r="C13" s="61" t="s">
        <v>17</v>
      </c>
      <c r="H13" s="60"/>
      <c r="Q13" s="55"/>
    </row>
    <row r="14" spans="1:17" s="56" customFormat="1" x14ac:dyDescent="0.25">
      <c r="H14" s="60"/>
      <c r="M14" s="62"/>
      <c r="Q14" s="55"/>
    </row>
    <row r="15" spans="1:17" x14ac:dyDescent="0.25">
      <c r="B15" s="63" t="s">
        <v>35</v>
      </c>
      <c r="C15" s="64"/>
      <c r="D15" s="65"/>
      <c r="E15" s="66"/>
      <c r="F15" s="65"/>
      <c r="G15" s="66"/>
      <c r="H15" s="67"/>
      <c r="I15" s="66"/>
      <c r="J15" s="66"/>
      <c r="K15" s="68"/>
      <c r="L15" s="68"/>
      <c r="M15" s="49"/>
    </row>
    <row r="16" spans="1:17" x14ac:dyDescent="0.25">
      <c r="B16" s="52"/>
      <c r="C16" s="69" t="s">
        <v>36</v>
      </c>
      <c r="D16" s="53"/>
      <c r="E16" s="52"/>
      <c r="F16" s="53"/>
      <c r="G16" s="52"/>
      <c r="H16" s="54"/>
      <c r="I16" s="70"/>
      <c r="J16" s="70"/>
      <c r="K16" s="49"/>
      <c r="M16" s="49"/>
    </row>
    <row r="17" spans="2:13" x14ac:dyDescent="0.25">
      <c r="B17" s="52"/>
      <c r="C17" s="38" t="s">
        <v>33</v>
      </c>
      <c r="D17" s="53"/>
      <c r="E17" s="52"/>
      <c r="F17" s="53"/>
      <c r="G17" s="52"/>
      <c r="H17" s="54"/>
      <c r="I17" s="70"/>
      <c r="J17" s="70"/>
      <c r="K17" s="49"/>
      <c r="M17" s="49"/>
    </row>
    <row r="18" spans="2:13" x14ac:dyDescent="0.25">
      <c r="B18" s="52"/>
      <c r="C18" s="38" t="s">
        <v>34</v>
      </c>
      <c r="D18" s="53"/>
      <c r="E18" s="52"/>
      <c r="F18" s="53"/>
      <c r="G18" s="52"/>
      <c r="H18" s="54"/>
      <c r="I18" s="70"/>
      <c r="J18" s="70"/>
      <c r="K18" s="49"/>
      <c r="M18" s="49"/>
    </row>
    <row r="19" spans="2:13" x14ac:dyDescent="0.25">
      <c r="B19" s="52"/>
      <c r="D19" s="53"/>
      <c r="E19" s="52"/>
      <c r="F19" s="53"/>
      <c r="G19" s="52"/>
      <c r="H19" s="54"/>
      <c r="I19" s="70"/>
      <c r="J19" s="70"/>
      <c r="K19" s="49"/>
      <c r="M19" s="49"/>
    </row>
    <row r="20" spans="2:13" x14ac:dyDescent="0.25">
      <c r="B20" s="71" t="s">
        <v>21</v>
      </c>
      <c r="C20" s="68"/>
      <c r="D20" s="68"/>
      <c r="E20" s="68"/>
      <c r="F20" s="68"/>
      <c r="G20" s="68"/>
      <c r="H20" s="68"/>
      <c r="I20" s="68"/>
      <c r="J20" s="68"/>
      <c r="K20" s="68"/>
      <c r="L20" s="68"/>
      <c r="M20" s="49"/>
    </row>
    <row r="21" spans="2:13" x14ac:dyDescent="0.25">
      <c r="B21" s="72" t="s">
        <v>22</v>
      </c>
      <c r="M21" s="49"/>
    </row>
    <row r="23" spans="2:13" x14ac:dyDescent="0.25">
      <c r="C23" s="73">
        <f>'July 2017'!C20+0.04</f>
        <v>0.24634939357852148</v>
      </c>
      <c r="D23" s="72" t="s">
        <v>23</v>
      </c>
      <c r="F23" s="72"/>
      <c r="J23" s="74"/>
    </row>
    <row r="24" spans="2:13" x14ac:dyDescent="0.25">
      <c r="C24" s="73">
        <f>'July 2017'!C21+0.03</f>
        <v>0.30151235997173875</v>
      </c>
      <c r="D24" s="72" t="s">
        <v>24</v>
      </c>
      <c r="F24" s="72"/>
      <c r="J24" s="74"/>
    </row>
    <row r="25" spans="2:13" x14ac:dyDescent="0.25">
      <c r="C25" s="73">
        <f>'July 2017'!C22+0.03</f>
        <v>0.40167025276131352</v>
      </c>
      <c r="D25" s="72" t="s">
        <v>25</v>
      </c>
      <c r="F25" s="72"/>
      <c r="J25" s="74"/>
    </row>
    <row r="26" spans="2:13" x14ac:dyDescent="0.25">
      <c r="C26" s="73">
        <f>'July 2017'!C23+0.03</f>
        <v>0.49700125915139071</v>
      </c>
      <c r="D26" s="72" t="s">
        <v>26</v>
      </c>
      <c r="F26" s="72"/>
      <c r="J26" s="74"/>
    </row>
    <row r="28" spans="2:13" ht="13.8" x14ac:dyDescent="0.3">
      <c r="B28" s="76" t="s">
        <v>37</v>
      </c>
    </row>
    <row r="29" spans="2:13" x14ac:dyDescent="0.25">
      <c r="B29" s="38" t="s">
        <v>38</v>
      </c>
    </row>
    <row r="32" spans="2:13" ht="15.6" x14ac:dyDescent="0.25">
      <c r="B32" s="75"/>
      <c r="C32" s="56"/>
    </row>
    <row r="33" spans="2:3" x14ac:dyDescent="0.25">
      <c r="B33" s="56"/>
    </row>
    <row r="34" spans="2:3" ht="15.6" x14ac:dyDescent="0.25">
      <c r="B34" s="75"/>
      <c r="C34" s="56"/>
    </row>
  </sheetData>
  <pageMargins left="0.7" right="0.7"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52</vt:i4>
      </vt:variant>
    </vt:vector>
  </HeadingPairs>
  <TitlesOfParts>
    <vt:vector size="75" baseType="lpstr">
      <vt:lpstr>July 2017</vt:lpstr>
      <vt:lpstr>July 2018</vt:lpstr>
      <vt:lpstr>July 2019</vt:lpstr>
      <vt:lpstr>August 2019</vt:lpstr>
      <vt:lpstr>October 2019</vt:lpstr>
      <vt:lpstr>July 2020</vt:lpstr>
      <vt:lpstr>October 2020</vt:lpstr>
      <vt:lpstr>X 2021</vt:lpstr>
      <vt:lpstr>July 1 2021</vt:lpstr>
      <vt:lpstr>July 2021</vt:lpstr>
      <vt:lpstr>October 2021</vt:lpstr>
      <vt:lpstr>July 2022</vt:lpstr>
      <vt:lpstr>October 2022</vt:lpstr>
      <vt:lpstr>July 2023</vt:lpstr>
      <vt:lpstr>October 2023</vt:lpstr>
      <vt:lpstr>July 2024</vt:lpstr>
      <vt:lpstr>October 2024</vt:lpstr>
      <vt:lpstr>July 2025</vt:lpstr>
      <vt:lpstr>October 2025</vt:lpstr>
      <vt:lpstr>July 2026</vt:lpstr>
      <vt:lpstr>October 2026</vt:lpstr>
      <vt:lpstr>Notes</vt:lpstr>
      <vt:lpstr>Summary</vt:lpstr>
      <vt:lpstr>COLA2024</vt:lpstr>
      <vt:lpstr>IncrPerc2021</vt:lpstr>
      <vt:lpstr>July2021IncrPerc</vt:lpstr>
      <vt:lpstr>'July 2023'!July2022IncrPerc</vt:lpstr>
      <vt:lpstr>'October 2022'!July2022IncrPerc</vt:lpstr>
      <vt:lpstr>'October 2023'!July2022IncrPerc</vt:lpstr>
      <vt:lpstr>July2022IncrPerc</vt:lpstr>
      <vt:lpstr>'October 2023'!July2023IncrPerc</vt:lpstr>
      <vt:lpstr>July2023IncrPerc</vt:lpstr>
      <vt:lpstr>July2024IncrPerc</vt:lpstr>
      <vt:lpstr>July2025IncrPerc</vt:lpstr>
      <vt:lpstr>'October 2025'!July2026IncrPerc</vt:lpstr>
      <vt:lpstr>'October 2026'!July2026IncrPerc</vt:lpstr>
      <vt:lpstr>July2026IncrPerc</vt:lpstr>
      <vt:lpstr>MktAdj2024</vt:lpstr>
      <vt:lpstr>Oct2024IncrPerc</vt:lpstr>
      <vt:lpstr>Oct2025IncrPerc</vt:lpstr>
      <vt:lpstr>Pension2023</vt:lpstr>
      <vt:lpstr>Pension2024</vt:lpstr>
      <vt:lpstr>'October 2026'!Pension2026</vt:lpstr>
      <vt:lpstr>Pension2026</vt:lpstr>
      <vt:lpstr>PensionOct2024</vt:lpstr>
      <vt:lpstr>PensionOct2025</vt:lpstr>
      <vt:lpstr>PensionOct2026</vt:lpstr>
      <vt:lpstr>'August 2019'!Print_Area</vt:lpstr>
      <vt:lpstr>'July 1 2021'!Print_Area</vt:lpstr>
      <vt:lpstr>'July 2017'!Print_Area</vt:lpstr>
      <vt:lpstr>'July 2018'!Print_Area</vt:lpstr>
      <vt:lpstr>'July 2019'!Print_Area</vt:lpstr>
      <vt:lpstr>'July 2020'!Print_Area</vt:lpstr>
      <vt:lpstr>'July 2021'!Print_Area</vt:lpstr>
      <vt:lpstr>'July 2022'!Print_Area</vt:lpstr>
      <vt:lpstr>'July 2023'!Print_Area</vt:lpstr>
      <vt:lpstr>'October 2019'!Print_Area</vt:lpstr>
      <vt:lpstr>'October 2020'!Print_Area</vt:lpstr>
      <vt:lpstr>'October 2021'!Print_Area</vt:lpstr>
      <vt:lpstr>'October 2022'!Print_Area</vt:lpstr>
      <vt:lpstr>'October 2023'!Print_Area</vt:lpstr>
      <vt:lpstr>'X 2021'!Print_Area</vt:lpstr>
      <vt:lpstr>'July 2021'!Rates2020</vt:lpstr>
      <vt:lpstr>'July 2022'!Rates2020</vt:lpstr>
      <vt:lpstr>'July 2023'!Rates2020</vt:lpstr>
      <vt:lpstr>'October 2021'!Rates2020</vt:lpstr>
      <vt:lpstr>'October 2022'!Rates2020</vt:lpstr>
      <vt:lpstr>'October 2023'!Rates2020</vt:lpstr>
      <vt:lpstr>Rates2020</vt:lpstr>
      <vt:lpstr>RatesJuly2024</vt:lpstr>
      <vt:lpstr>RatesJuly2025</vt:lpstr>
      <vt:lpstr>RatesJuly2026</vt:lpstr>
      <vt:lpstr>RatesOct2023</vt:lpstr>
      <vt:lpstr>RatesOct2024</vt:lpstr>
      <vt:lpstr>RatesOct2025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International Association of Machinist and Aerospace Workers CMA Salary Schedule. From 2024-2026. Posted 10-07-2024</dc:title>
  <dc:creator>City of Minneapolis Human Resources, Classification and Compensation;Howatt, Erick S</dc:creator>
  <cp:lastModifiedBy>Stupeck, Marie (she/her/hers)</cp:lastModifiedBy>
  <cp:lastPrinted>2019-10-29T19:24:34Z</cp:lastPrinted>
  <dcterms:created xsi:type="dcterms:W3CDTF">2018-09-13T15:46:51Z</dcterms:created>
  <dcterms:modified xsi:type="dcterms:W3CDTF">2026-01-09T18:05:31Z</dcterms:modified>
</cp:coreProperties>
</file>