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MN) MnPEA 911\Salary Schedules\"/>
    </mc:Choice>
  </mc:AlternateContent>
  <xr:revisionPtr revIDLastSave="0" documentId="13_ncr:1_{4D8799D7-DEBA-4E55-A3B5-35CD604D778E}" xr6:coauthVersionLast="47" xr6:coauthVersionMax="47" xr10:uidLastSave="{00000000-0000-0000-0000-000000000000}"/>
  <workbookProtection lockStructure="1"/>
  <bookViews>
    <workbookView xWindow="28680" yWindow="-120" windowWidth="29040" windowHeight="15840" firstSheet="13" activeTab="13" xr2:uid="{00000000-000D-0000-FFFF-FFFF00000000}"/>
  </bookViews>
  <sheets>
    <sheet name="1 1 2017" sheetId="1" state="hidden" r:id="rId1"/>
    <sheet name="7 1 2017" sheetId="2" state="hidden" r:id="rId2"/>
    <sheet name="1 1 2018" sheetId="3" state="hidden" r:id="rId3"/>
    <sheet name="7 1 2019" sheetId="4" state="hidden" r:id="rId4"/>
    <sheet name="1 1 2020" sheetId="6" state="hidden" r:id="rId5"/>
    <sheet name="1 1 2021" sheetId="7" state="hidden" r:id="rId6"/>
    <sheet name="1 1 2022" sheetId="8" state="hidden" r:id="rId7"/>
    <sheet name="9 25 2022" sheetId="15" state="hidden" r:id="rId8"/>
    <sheet name="10 10 2022" sheetId="17" state="hidden" r:id="rId9"/>
    <sheet name="1 1 2023" sheetId="10" state="hidden" r:id="rId10"/>
    <sheet name="4 1 2023" sheetId="11" state="hidden" r:id="rId11"/>
    <sheet name="1 1 2024" sheetId="12" state="hidden" r:id="rId12"/>
    <sheet name="4 1 2024" sheetId="13" state="hidden" r:id="rId13"/>
    <sheet name="1 1 2025" sheetId="18" r:id="rId14"/>
    <sheet name="1 1 2026" sheetId="19" r:id="rId15"/>
    <sheet name="1 1 2027" sheetId="20" r:id="rId16"/>
    <sheet name="Notes" sheetId="5" state="hidden" r:id="rId17"/>
  </sheets>
  <definedNames>
    <definedName name="PercInc2019">'7 1 2019'!$S$1</definedName>
    <definedName name="PercInc2020">'1 1 2020'!$S$1</definedName>
    <definedName name="PercInc2021">'1 1 2021'!$S$1</definedName>
    <definedName name="PercInc2022" localSheetId="8">'10 10 2022'!$S$1</definedName>
    <definedName name="PercInc2022" localSheetId="7">'9 25 2022'!$S$1</definedName>
    <definedName name="PercInc2022">'1 1 2022'!$S$1</definedName>
    <definedName name="PercInc2023">'1 1 2023'!$S$1</definedName>
    <definedName name="PercInc2024">'1 1 2024'!$S$1</definedName>
    <definedName name="PercIncApril2023">'4 1 2023'!$S$1</definedName>
    <definedName name="PercIncApril2024">'4 1 2024'!$S$1</definedName>
    <definedName name="PercIncr2025">'1 1 2025'!$S$1</definedName>
    <definedName name="PercIncr2026">'1 1 2026'!$S$1</definedName>
    <definedName name="PercIncr2027">'1 1 2027'!$S$1</definedName>
    <definedName name="_xlnm.Print_Area" localSheetId="0">'1 1 2017'!$A$1:$O$47</definedName>
    <definedName name="_xlnm.Print_Area" localSheetId="2">'1 1 2018'!$A$1:$O$41</definedName>
    <definedName name="_xlnm.Print_Area" localSheetId="4">'1 1 2020'!$B$1:$P$41</definedName>
    <definedName name="_xlnm.Print_Area" localSheetId="1">'7 1 2017'!$A$1:$O$46</definedName>
    <definedName name="_xlnm.Print_Area" localSheetId="3">'7 1 2019'!$B$1:$P$46</definedName>
    <definedName name="Rates2019">'1 1 2018'!$S$6:$AA$46</definedName>
    <definedName name="Rates2020">'7 1 2019'!$S$6:$AA$46</definedName>
    <definedName name="Rates2020v2">'1 1 2020'!$S$6:$AA$41</definedName>
    <definedName name="Rates2021">'1 1 2021'!$S$7:$AA$100</definedName>
    <definedName name="Rates2022">'1 1 2022'!$S$7:$AA$100</definedName>
    <definedName name="Rates2023">'1 1 2023'!$S$7:$AA$100</definedName>
    <definedName name="Rates2024">'1 1 2024'!$S$6:$AA$100</definedName>
    <definedName name="Rates2025">'1 1 2025'!$S$6:$AA$41</definedName>
    <definedName name="Rates2026">'1 1 2026'!$S$6:$AA$41</definedName>
    <definedName name="RatesApril2023">'4 1 2023'!$S$6:$AA$100</definedName>
    <definedName name="RatesApril2024">'4 1 2024'!$S$6:$AA$40</definedName>
    <definedName name="RatesSept2022" localSheetId="8">'10 10 2022'!$S$7:$AA$40</definedName>
    <definedName name="RatesSept2022">'9 25 2022'!$S$7:$AA$40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35" i="20" l="1"/>
  <c r="AB35" i="20"/>
  <c r="AB31" i="20"/>
  <c r="AB30" i="20"/>
  <c r="AB29" i="20"/>
  <c r="AB28" i="20"/>
  <c r="AC24" i="20"/>
  <c r="AB24" i="20"/>
  <c r="AC23" i="20"/>
  <c r="AB23" i="20"/>
  <c r="AC22" i="20"/>
  <c r="AB22" i="20"/>
  <c r="AC21" i="20"/>
  <c r="AB21" i="20"/>
  <c r="AC20" i="20"/>
  <c r="AB20" i="20"/>
  <c r="AC19" i="20"/>
  <c r="AB19" i="20"/>
  <c r="AC18" i="20"/>
  <c r="AB18" i="20"/>
  <c r="AC17" i="20"/>
  <c r="AB17" i="20"/>
  <c r="AC14" i="20"/>
  <c r="AB14" i="20"/>
  <c r="AC11" i="20"/>
  <c r="AB11" i="20"/>
  <c r="AD8" i="20"/>
  <c r="AC8" i="20"/>
  <c r="AB8" i="20"/>
  <c r="T8" i="20"/>
  <c r="AD7" i="20"/>
  <c r="AB7" i="20"/>
  <c r="T7" i="20"/>
  <c r="AC7" i="20" s="1"/>
  <c r="V5" i="20"/>
  <c r="W5" i="20" s="1"/>
  <c r="X5" i="20" s="1"/>
  <c r="Y5" i="20" s="1"/>
  <c r="Z5" i="20" s="1"/>
  <c r="AA5" i="20" s="1"/>
  <c r="AC35" i="19"/>
  <c r="AB35" i="19"/>
  <c r="AB31" i="19"/>
  <c r="AB30" i="19"/>
  <c r="AB29" i="19"/>
  <c r="AB28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4" i="19"/>
  <c r="AB14" i="19"/>
  <c r="AC11" i="19"/>
  <c r="AB11" i="19"/>
  <c r="AD8" i="19"/>
  <c r="AC8" i="19"/>
  <c r="AB8" i="19"/>
  <c r="T8" i="19"/>
  <c r="AD7" i="19"/>
  <c r="AB7" i="19"/>
  <c r="T7" i="19"/>
  <c r="AC7" i="19" s="1"/>
  <c r="V5" i="19"/>
  <c r="W5" i="19" s="1"/>
  <c r="X5" i="19" s="1"/>
  <c r="Y5" i="19" s="1"/>
  <c r="Z5" i="19" s="1"/>
  <c r="AA5" i="19" s="1"/>
  <c r="AB24" i="18"/>
  <c r="AC24" i="18"/>
  <c r="AB20" i="18"/>
  <c r="AC20" i="18"/>
  <c r="AC35" i="18"/>
  <c r="AB35" i="18"/>
  <c r="AB31" i="18"/>
  <c r="AB30" i="18"/>
  <c r="AB29" i="18"/>
  <c r="AB28" i="18"/>
  <c r="AC23" i="18"/>
  <c r="AB23" i="18"/>
  <c r="AC22" i="18"/>
  <c r="AB22" i="18"/>
  <c r="AC21" i="18"/>
  <c r="AB21" i="18"/>
  <c r="AC19" i="18"/>
  <c r="AB19" i="18"/>
  <c r="AC18" i="18"/>
  <c r="AB18" i="18"/>
  <c r="AC17" i="18"/>
  <c r="AB17" i="18"/>
  <c r="AC14" i="18"/>
  <c r="AB14" i="18"/>
  <c r="AC11" i="18"/>
  <c r="AB11" i="18"/>
  <c r="AD7" i="18"/>
  <c r="AB7" i="18"/>
  <c r="T7" i="18"/>
  <c r="AC7" i="18" s="1"/>
  <c r="AD8" i="18"/>
  <c r="AB8" i="18"/>
  <c r="T8" i="18"/>
  <c r="AC8" i="18" s="1"/>
  <c r="V5" i="18"/>
  <c r="W5" i="18" s="1"/>
  <c r="X5" i="18" s="1"/>
  <c r="Y5" i="18" s="1"/>
  <c r="Z5" i="18" s="1"/>
  <c r="AA5" i="18" s="1"/>
  <c r="U35" i="15"/>
  <c r="U35" i="17"/>
  <c r="U35" i="10"/>
  <c r="AA35" i="10"/>
  <c r="AC35" i="17"/>
  <c r="AB35" i="17"/>
  <c r="AB31" i="17"/>
  <c r="AB30" i="17"/>
  <c r="AB29" i="17"/>
  <c r="AB28" i="17"/>
  <c r="AC22" i="17"/>
  <c r="AB22" i="17"/>
  <c r="AC21" i="17"/>
  <c r="AB21" i="17"/>
  <c r="AC20" i="17"/>
  <c r="AB20" i="17"/>
  <c r="AC19" i="17"/>
  <c r="AB19" i="17"/>
  <c r="AC18" i="17"/>
  <c r="AB18" i="17"/>
  <c r="AC17" i="17"/>
  <c r="AB17" i="17"/>
  <c r="AC14" i="17"/>
  <c r="AB14" i="17"/>
  <c r="AC11" i="17"/>
  <c r="AB11" i="17"/>
  <c r="AK8" i="17"/>
  <c r="AJ8" i="17"/>
  <c r="AI8" i="17"/>
  <c r="AH8" i="17"/>
  <c r="AG8" i="17"/>
  <c r="AF8" i="17"/>
  <c r="AE8" i="17"/>
  <c r="AD8" i="17"/>
  <c r="AB8" i="17"/>
  <c r="T8" i="17"/>
  <c r="AC8" i="17" s="1"/>
  <c r="O8" i="17"/>
  <c r="N8" i="17"/>
  <c r="M8" i="17"/>
  <c r="L8" i="17"/>
  <c r="K8" i="17"/>
  <c r="J8" i="17"/>
  <c r="I8" i="17"/>
  <c r="AK7" i="17"/>
  <c r="AJ7" i="17"/>
  <c r="AI7" i="17"/>
  <c r="AH7" i="17"/>
  <c r="AG7" i="17"/>
  <c r="AF7" i="17"/>
  <c r="AE7" i="17"/>
  <c r="AD7" i="17"/>
  <c r="AB7" i="17"/>
  <c r="T7" i="17"/>
  <c r="AC7" i="17" s="1"/>
  <c r="O7" i="17"/>
  <c r="P41" i="17" s="1"/>
  <c r="N7" i="17"/>
  <c r="O41" i="17" s="1"/>
  <c r="M7" i="17"/>
  <c r="N41" i="17" s="1"/>
  <c r="L7" i="17"/>
  <c r="M41" i="17" s="1"/>
  <c r="K7" i="17"/>
  <c r="L41" i="17" s="1"/>
  <c r="J7" i="17"/>
  <c r="K41" i="17" s="1"/>
  <c r="I7" i="17"/>
  <c r="J41" i="17" s="1"/>
  <c r="W5" i="17"/>
  <c r="X5" i="17" s="1"/>
  <c r="Y5" i="17" s="1"/>
  <c r="Z5" i="17" s="1"/>
  <c r="AA5" i="17" s="1"/>
  <c r="V5" i="17"/>
  <c r="AB18" i="8"/>
  <c r="AB19" i="8"/>
  <c r="AB20" i="8"/>
  <c r="AB21" i="8"/>
  <c r="AB22" i="8"/>
  <c r="AB17" i="8"/>
  <c r="AB18" i="15"/>
  <c r="AB19" i="15"/>
  <c r="AB20" i="15"/>
  <c r="AB21" i="15"/>
  <c r="AB22" i="15"/>
  <c r="AB17" i="15"/>
  <c r="AB18" i="10"/>
  <c r="AB19" i="10"/>
  <c r="AB20" i="10"/>
  <c r="AB21" i="10"/>
  <c r="AB22" i="10"/>
  <c r="AB17" i="10"/>
  <c r="AB18" i="11"/>
  <c r="AB19" i="11"/>
  <c r="AB20" i="11"/>
  <c r="AB21" i="11"/>
  <c r="AB22" i="11"/>
  <c r="AB17" i="11"/>
  <c r="AB18" i="13"/>
  <c r="AB19" i="13"/>
  <c r="AB20" i="13"/>
  <c r="AB21" i="13"/>
  <c r="AB22" i="13"/>
  <c r="AB17" i="13"/>
  <c r="AB18" i="12"/>
  <c r="AB19" i="12"/>
  <c r="AB20" i="12"/>
  <c r="AB21" i="12"/>
  <c r="AB22" i="12"/>
  <c r="AB17" i="12"/>
  <c r="AC35" i="15"/>
  <c r="AB35" i="15"/>
  <c r="AB31" i="15"/>
  <c r="AB30" i="15"/>
  <c r="AB29" i="15"/>
  <c r="AB28" i="15"/>
  <c r="AC22" i="15"/>
  <c r="AC21" i="15"/>
  <c r="AC20" i="15"/>
  <c r="AC19" i="15"/>
  <c r="AC18" i="15"/>
  <c r="AC17" i="15"/>
  <c r="AC14" i="15"/>
  <c r="AB14" i="15"/>
  <c r="AC11" i="15"/>
  <c r="AB11" i="15"/>
  <c r="AD8" i="15"/>
  <c r="AC8" i="15"/>
  <c r="AB8" i="15"/>
  <c r="T8" i="15"/>
  <c r="AD7" i="15"/>
  <c r="AB7" i="15"/>
  <c r="T7" i="15"/>
  <c r="AC7" i="15" s="1"/>
  <c r="W5" i="15"/>
  <c r="X5" i="15" s="1"/>
  <c r="Y5" i="15" s="1"/>
  <c r="Z5" i="15" s="1"/>
  <c r="AA5" i="15" s="1"/>
  <c r="V5" i="15"/>
  <c r="AC22" i="8"/>
  <c r="AC21" i="8"/>
  <c r="AC20" i="8"/>
  <c r="AC19" i="8"/>
  <c r="AC18" i="8"/>
  <c r="AC17" i="8"/>
  <c r="AC18" i="11"/>
  <c r="AC19" i="11"/>
  <c r="AC20" i="11"/>
  <c r="AC21" i="11"/>
  <c r="AC22" i="11"/>
  <c r="AC17" i="11"/>
  <c r="AC18" i="12"/>
  <c r="AC19" i="12"/>
  <c r="AC20" i="12"/>
  <c r="AC21" i="12"/>
  <c r="AC22" i="12"/>
  <c r="AC17" i="12"/>
  <c r="AC18" i="13"/>
  <c r="AC19" i="13"/>
  <c r="AC20" i="13"/>
  <c r="AC21" i="13"/>
  <c r="AC22" i="13"/>
  <c r="AC17" i="13"/>
  <c r="AC18" i="10"/>
  <c r="AC19" i="10"/>
  <c r="AC20" i="10"/>
  <c r="AC21" i="10"/>
  <c r="AC22" i="10"/>
  <c r="AC17" i="10"/>
  <c r="U22" i="7"/>
  <c r="U21" i="7"/>
  <c r="U19" i="7"/>
  <c r="U18" i="7"/>
  <c r="AC35" i="8"/>
  <c r="AB35" i="8"/>
  <c r="AC35" i="10"/>
  <c r="AB35" i="10"/>
  <c r="AC35" i="11"/>
  <c r="AB35" i="11"/>
  <c r="AC35" i="12"/>
  <c r="AB35" i="12"/>
  <c r="AC35" i="13"/>
  <c r="AB35" i="13"/>
  <c r="AB29" i="8"/>
  <c r="AB30" i="8"/>
  <c r="AB31" i="8"/>
  <c r="AB29" i="10"/>
  <c r="AB30" i="10"/>
  <c r="AB31" i="10"/>
  <c r="AB29" i="11"/>
  <c r="AB30" i="11"/>
  <c r="AB31" i="11"/>
  <c r="AB29" i="12"/>
  <c r="AB30" i="12"/>
  <c r="AB31" i="12"/>
  <c r="AB29" i="13"/>
  <c r="AB30" i="13"/>
  <c r="AB31" i="13"/>
  <c r="AB28" i="8"/>
  <c r="AB28" i="10"/>
  <c r="AB28" i="11"/>
  <c r="AB28" i="12"/>
  <c r="AB28" i="13"/>
  <c r="AB14" i="8"/>
  <c r="AC14" i="8"/>
  <c r="AB14" i="10"/>
  <c r="AC14" i="10"/>
  <c r="AB14" i="11"/>
  <c r="AC14" i="11"/>
  <c r="AB14" i="12"/>
  <c r="AC14" i="12"/>
  <c r="AB14" i="13"/>
  <c r="AC14" i="13"/>
  <c r="AC11" i="8"/>
  <c r="AC11" i="10"/>
  <c r="AC11" i="11"/>
  <c r="AC11" i="12"/>
  <c r="AC11" i="13"/>
  <c r="AB11" i="8"/>
  <c r="AB11" i="10"/>
  <c r="AB11" i="11"/>
  <c r="AB11" i="12"/>
  <c r="AB11" i="13"/>
  <c r="AB8" i="8"/>
  <c r="AD8" i="8"/>
  <c r="AB8" i="10"/>
  <c r="AD8" i="10"/>
  <c r="AB8" i="11"/>
  <c r="AD8" i="11"/>
  <c r="AB8" i="12"/>
  <c r="AD8" i="12"/>
  <c r="AB8" i="13"/>
  <c r="AD8" i="13"/>
  <c r="AD7" i="8"/>
  <c r="AD7" i="10"/>
  <c r="AD7" i="11"/>
  <c r="AD7" i="12"/>
  <c r="AD7" i="13"/>
  <c r="AB7" i="8"/>
  <c r="AB7" i="10"/>
  <c r="AB7" i="11"/>
  <c r="AB7" i="12"/>
  <c r="AB7" i="13"/>
  <c r="T8" i="13"/>
  <c r="AC8" i="13" s="1"/>
  <c r="T7" i="13"/>
  <c r="AC7" i="13" s="1"/>
  <c r="V5" i="13"/>
  <c r="W5" i="13" s="1"/>
  <c r="X5" i="13" s="1"/>
  <c r="Y5" i="13" s="1"/>
  <c r="Z5" i="13" s="1"/>
  <c r="AA5" i="13" s="1"/>
  <c r="T8" i="12"/>
  <c r="AC8" i="12" s="1"/>
  <c r="T7" i="12"/>
  <c r="AC7" i="12" s="1"/>
  <c r="V5" i="12"/>
  <c r="W5" i="12" s="1"/>
  <c r="X5" i="12" s="1"/>
  <c r="Y5" i="12" s="1"/>
  <c r="Z5" i="12" s="1"/>
  <c r="AA5" i="12" s="1"/>
  <c r="Y7" i="11" a="1"/>
  <c r="W7" i="11" a="1"/>
  <c r="U17" i="8" a="1"/>
  <c r="U18" i="8" a="1"/>
  <c r="U22" i="8" a="1"/>
  <c r="U21" i="8" a="1"/>
  <c r="V8" i="11" a="1"/>
  <c r="V7" i="11" a="1"/>
  <c r="AA7" i="11" a="1"/>
  <c r="Z7" i="11" a="1"/>
  <c r="X7" i="11" a="1"/>
  <c r="U7" i="11" a="1"/>
  <c r="U19" i="8" a="1"/>
  <c r="U20" i="8" a="1"/>
  <c r="Z7" i="11" l="1"/>
  <c r="Y7" i="11"/>
  <c r="X7" i="11"/>
  <c r="W7" i="11"/>
  <c r="V7" i="11"/>
  <c r="AA7" i="11"/>
  <c r="U7" i="11"/>
  <c r="V8" i="11"/>
  <c r="U21" i="8"/>
  <c r="U20" i="8"/>
  <c r="U18" i="8"/>
  <c r="U22" i="8"/>
  <c r="U17" i="8"/>
  <c r="U19" i="8"/>
  <c r="T8" i="11"/>
  <c r="AC8" i="11" s="1"/>
  <c r="T7" i="11"/>
  <c r="AC7" i="11" s="1"/>
  <c r="V5" i="11"/>
  <c r="W5" i="11" s="1"/>
  <c r="X5" i="11" s="1"/>
  <c r="Y5" i="11" s="1"/>
  <c r="Z5" i="11" s="1"/>
  <c r="AA5" i="11" s="1"/>
  <c r="T8" i="10"/>
  <c r="AC8" i="10" s="1"/>
  <c r="T7" i="10"/>
  <c r="AC7" i="10" s="1"/>
  <c r="V5" i="10"/>
  <c r="W5" i="10" s="1"/>
  <c r="X5" i="10" s="1"/>
  <c r="Y5" i="10" s="1"/>
  <c r="Z5" i="10" s="1"/>
  <c r="AA5" i="10" s="1"/>
  <c r="U20" i="15" a="1"/>
  <c r="U19" i="17" a="1"/>
  <c r="U18" i="17" a="1"/>
  <c r="U18" i="15" a="1"/>
  <c r="U19" i="15" a="1"/>
  <c r="U17" i="17" a="1"/>
  <c r="U22" i="17" a="1"/>
  <c r="U17" i="15" a="1"/>
  <c r="U22" i="15" a="1"/>
  <c r="U21" i="17" a="1"/>
  <c r="U20" i="17" a="1"/>
  <c r="U21" i="15" a="1"/>
  <c r="U35" i="11" l="1"/>
  <c r="U20" i="17"/>
  <c r="AD20" i="17" s="1"/>
  <c r="U18" i="17"/>
  <c r="AD18" i="17" s="1"/>
  <c r="U19" i="17"/>
  <c r="AD19" i="17" s="1"/>
  <c r="U17" i="17"/>
  <c r="AD17" i="17" s="1"/>
  <c r="U22" i="17"/>
  <c r="AD22" i="17" s="1"/>
  <c r="U21" i="17"/>
  <c r="AD21" i="17" s="1"/>
  <c r="AD18" i="8"/>
  <c r="AD19" i="8"/>
  <c r="AD22" i="8"/>
  <c r="AD21" i="8"/>
  <c r="U20" i="15"/>
  <c r="U21" i="15"/>
  <c r="U17" i="15"/>
  <c r="U19" i="15"/>
  <c r="U22" i="15"/>
  <c r="U18" i="15"/>
  <c r="AD20" i="8"/>
  <c r="AD17" i="8"/>
  <c r="AD43" i="8"/>
  <c r="AD42" i="8"/>
  <c r="AD41" i="8"/>
  <c r="AD46" i="8"/>
  <c r="AD45" i="8"/>
  <c r="AD44" i="8"/>
  <c r="V5" i="8"/>
  <c r="W5" i="8" s="1"/>
  <c r="X5" i="8" s="1"/>
  <c r="Y5" i="8" s="1"/>
  <c r="Z5" i="8" s="1"/>
  <c r="AA5" i="8" s="1"/>
  <c r="T8" i="8"/>
  <c r="AC8" i="8" s="1"/>
  <c r="T7" i="8"/>
  <c r="AC7" i="8" s="1"/>
  <c r="V8" i="4"/>
  <c r="J8" i="4" s="1"/>
  <c r="W8" i="4"/>
  <c r="K8" i="4" s="1"/>
  <c r="X8" i="4"/>
  <c r="L8" i="4" s="1"/>
  <c r="Y8" i="4"/>
  <c r="M8" i="4" s="1"/>
  <c r="Z8" i="4"/>
  <c r="N8" i="4" s="1"/>
  <c r="AA8" i="4"/>
  <c r="O8" i="4" s="1"/>
  <c r="U8" i="4"/>
  <c r="I8" i="4" s="1"/>
  <c r="M8" i="3"/>
  <c r="I9" i="2"/>
  <c r="I8" i="3" s="1"/>
  <c r="J9" i="2"/>
  <c r="J8" i="3" s="1"/>
  <c r="K9" i="2"/>
  <c r="K8" i="3" s="1"/>
  <c r="L9" i="2"/>
  <c r="L8" i="3" s="1"/>
  <c r="M9" i="2"/>
  <c r="N9" i="2"/>
  <c r="N8" i="3" s="1"/>
  <c r="H9" i="2"/>
  <c r="H8" i="3" s="1"/>
  <c r="U20" i="10" a="1"/>
  <c r="U22" i="10" a="1"/>
  <c r="U19" i="10" a="1"/>
  <c r="U18" i="10" a="1"/>
  <c r="U17" i="10" a="1"/>
  <c r="U21" i="10" a="1"/>
  <c r="U20" i="10" l="1"/>
  <c r="U18" i="10"/>
  <c r="U22" i="10"/>
  <c r="U19" i="10"/>
  <c r="U17" i="10"/>
  <c r="U21" i="10"/>
  <c r="U8" i="6"/>
  <c r="I8" i="6" s="1"/>
  <c r="V8" i="6"/>
  <c r="V8" i="7" s="1"/>
  <c r="W8" i="6"/>
  <c r="AA8" i="6"/>
  <c r="Z8" i="6"/>
  <c r="Y8" i="6"/>
  <c r="Y8" i="7" s="1"/>
  <c r="X8" i="6"/>
  <c r="U27" i="4"/>
  <c r="B27" i="4" s="1"/>
  <c r="Y8" i="8" a="1"/>
  <c r="V8" i="8" a="1"/>
  <c r="U20" i="11" a="1"/>
  <c r="U17" i="11" a="1"/>
  <c r="U20" i="11" l="1"/>
  <c r="U21" i="11" s="1"/>
  <c r="U22" i="11" s="1"/>
  <c r="U17" i="11"/>
  <c r="U18" i="11" s="1"/>
  <c r="U19" i="11" s="1"/>
  <c r="U8" i="7"/>
  <c r="V8" i="8"/>
  <c r="AF8" i="8" s="1"/>
  <c r="Y8" i="8"/>
  <c r="AI8" i="8" s="1"/>
  <c r="J8" i="7"/>
  <c r="M8" i="7"/>
  <c r="L8" i="6"/>
  <c r="M8" i="6"/>
  <c r="O8" i="6"/>
  <c r="K8" i="6"/>
  <c r="J8" i="6"/>
  <c r="AA8" i="7"/>
  <c r="W8" i="7"/>
  <c r="X8" i="7"/>
  <c r="N8" i="6"/>
  <c r="Z8" i="7"/>
  <c r="O52" i="1"/>
  <c r="N52" i="1"/>
  <c r="M52" i="1"/>
  <c r="L52" i="1"/>
  <c r="K52" i="1"/>
  <c r="J52" i="1"/>
  <c r="I52" i="1"/>
  <c r="U20" i="12" a="1"/>
  <c r="Z8" i="8" a="1"/>
  <c r="U22" i="12" a="1"/>
  <c r="U8" i="8" a="1"/>
  <c r="W8" i="8" a="1"/>
  <c r="X8" i="8" a="1"/>
  <c r="AA8" i="8" a="1"/>
  <c r="U19" i="12" a="1"/>
  <c r="U17" i="12" a="1"/>
  <c r="U22" i="12" l="1"/>
  <c r="U17" i="12"/>
  <c r="U20" i="12"/>
  <c r="U19" i="12"/>
  <c r="J8" i="15"/>
  <c r="AF8" i="15"/>
  <c r="AI8" i="15"/>
  <c r="M8" i="15"/>
  <c r="U8" i="8"/>
  <c r="I8" i="7"/>
  <c r="AF8" i="10"/>
  <c r="AI8" i="10"/>
  <c r="J8" i="8"/>
  <c r="M8" i="8"/>
  <c r="W8" i="8"/>
  <c r="AG8" i="8" s="1"/>
  <c r="X8" i="8"/>
  <c r="AH8" i="8" s="1"/>
  <c r="AA8" i="8"/>
  <c r="AK8" i="8" s="1"/>
  <c r="Z8" i="8"/>
  <c r="AJ8" i="8" s="1"/>
  <c r="K8" i="7"/>
  <c r="L8" i="7"/>
  <c r="O8" i="7"/>
  <c r="N8" i="7"/>
  <c r="H15" i="2"/>
  <c r="H14" i="3" s="1"/>
  <c r="U14" i="3" s="1"/>
  <c r="U14" i="4" s="1"/>
  <c r="H12" i="2"/>
  <c r="H11" i="3" s="1"/>
  <c r="U11" i="3" s="1"/>
  <c r="U11" i="4" s="1"/>
  <c r="U17" i="13" a="1"/>
  <c r="Y8" i="11" a="1"/>
  <c r="U20" i="13" a="1"/>
  <c r="U21" i="12" l="1"/>
  <c r="U18" i="12"/>
  <c r="U17" i="13"/>
  <c r="U20" i="13"/>
  <c r="AE8" i="8"/>
  <c r="AG8" i="15"/>
  <c r="K8" i="15"/>
  <c r="AK8" i="15"/>
  <c r="O8" i="15"/>
  <c r="AH8" i="15"/>
  <c r="L8" i="15"/>
  <c r="AJ8" i="15"/>
  <c r="N8" i="15"/>
  <c r="AE8" i="15"/>
  <c r="I8" i="15"/>
  <c r="I8" i="8"/>
  <c r="AF8" i="11"/>
  <c r="Y8" i="11"/>
  <c r="AI8" i="11" s="1"/>
  <c r="J8" i="10"/>
  <c r="M8" i="10"/>
  <c r="AJ8" i="10"/>
  <c r="AK8" i="10"/>
  <c r="AH8" i="10"/>
  <c r="AG8" i="10"/>
  <c r="N8" i="8"/>
  <c r="O8" i="8"/>
  <c r="L8" i="8"/>
  <c r="K8" i="8"/>
  <c r="U11" i="6"/>
  <c r="B11" i="4"/>
  <c r="U14" i="6"/>
  <c r="B14" i="4"/>
  <c r="B36" i="2"/>
  <c r="B35" i="3" s="1"/>
  <c r="U35" i="3" s="1"/>
  <c r="U35" i="4" s="1"/>
  <c r="B35" i="2"/>
  <c r="B34" i="3" s="1"/>
  <c r="U34" i="3" s="1"/>
  <c r="U34" i="4" s="1"/>
  <c r="B34" i="2"/>
  <c r="B33" i="3" s="1"/>
  <c r="U33" i="3" s="1"/>
  <c r="U33" i="4" s="1"/>
  <c r="B33" i="2"/>
  <c r="B32" i="3" s="1"/>
  <c r="U32" i="3" s="1"/>
  <c r="U32" i="4" s="1"/>
  <c r="N8" i="2"/>
  <c r="O51" i="2" s="1"/>
  <c r="M8" i="2"/>
  <c r="L8" i="2"/>
  <c r="K8" i="2"/>
  <c r="J8" i="2"/>
  <c r="I8" i="2"/>
  <c r="H8" i="2"/>
  <c r="U18" i="13" a="1"/>
  <c r="U17" i="18" a="1"/>
  <c r="U21" i="18" a="1"/>
  <c r="U8" i="11" a="1"/>
  <c r="AA8" i="11" a="1"/>
  <c r="U21" i="13" a="1"/>
  <c r="W8" i="11" a="1"/>
  <c r="X8" i="11" a="1"/>
  <c r="V8" i="12" a="1"/>
  <c r="Z8" i="11" a="1"/>
  <c r="Y8" i="12" a="1"/>
  <c r="U21" i="18" l="1"/>
  <c r="U17" i="18"/>
  <c r="U22" i="13"/>
  <c r="U19" i="13"/>
  <c r="U21" i="13"/>
  <c r="U18" i="13"/>
  <c r="I8" i="10"/>
  <c r="AE8" i="10"/>
  <c r="Y8" i="12"/>
  <c r="V8" i="12"/>
  <c r="M8" i="11"/>
  <c r="J8" i="11"/>
  <c r="U8" i="11"/>
  <c r="AE8" i="11" s="1"/>
  <c r="AA8" i="11"/>
  <c r="AK8" i="11" s="1"/>
  <c r="Z8" i="11"/>
  <c r="AJ8" i="11" s="1"/>
  <c r="W8" i="11"/>
  <c r="AG8" i="11" s="1"/>
  <c r="X8" i="11"/>
  <c r="AH8" i="11" s="1"/>
  <c r="O8" i="10"/>
  <c r="N8" i="10"/>
  <c r="K8" i="10"/>
  <c r="L8" i="10"/>
  <c r="U28" i="6"/>
  <c r="C32" i="4"/>
  <c r="U31" i="6"/>
  <c r="C35" i="4"/>
  <c r="U29" i="6"/>
  <c r="C33" i="4"/>
  <c r="U14" i="7"/>
  <c r="B14" i="6"/>
  <c r="U30" i="6"/>
  <c r="C34" i="4"/>
  <c r="U11" i="7"/>
  <c r="B11" i="6"/>
  <c r="J7" i="3"/>
  <c r="W7" i="3" s="1"/>
  <c r="W7" i="4" s="1"/>
  <c r="K51" i="2"/>
  <c r="K7" i="3"/>
  <c r="X7" i="3" s="1"/>
  <c r="X7" i="4" s="1"/>
  <c r="L51" i="2"/>
  <c r="I7" i="3"/>
  <c r="V7" i="3" s="1"/>
  <c r="V7" i="4" s="1"/>
  <c r="J51" i="2"/>
  <c r="M7" i="3"/>
  <c r="Z7" i="3" s="1"/>
  <c r="Z7" i="4" s="1"/>
  <c r="N51" i="2"/>
  <c r="H7" i="3"/>
  <c r="U7" i="3" s="1"/>
  <c r="U7" i="4" s="1"/>
  <c r="I51" i="2"/>
  <c r="L7" i="3"/>
  <c r="Y7" i="3" s="1"/>
  <c r="Y7" i="4" s="1"/>
  <c r="M51" i="2"/>
  <c r="N7" i="3"/>
  <c r="AA7" i="3" s="1"/>
  <c r="AA7" i="4" s="1"/>
  <c r="U18" i="18" a="1"/>
  <c r="W8" i="12" a="1"/>
  <c r="U14" i="8" a="1"/>
  <c r="X8" i="12" a="1"/>
  <c r="U21" i="19" a="1"/>
  <c r="Z8" i="12" a="1"/>
  <c r="U8" i="12" a="1"/>
  <c r="U11" i="8" a="1"/>
  <c r="Y8" i="13" a="1"/>
  <c r="AA8" i="12" a="1"/>
  <c r="U17" i="19" a="1"/>
  <c r="V8" i="13" a="1"/>
  <c r="U22" i="18" a="1"/>
  <c r="U17" i="19" l="1"/>
  <c r="U20" i="19" s="1"/>
  <c r="AD20" i="19" s="1"/>
  <c r="U21" i="19"/>
  <c r="AD21" i="18"/>
  <c r="U19" i="18"/>
  <c r="AD19" i="18" s="1"/>
  <c r="U20" i="18"/>
  <c r="AD20" i="18" s="1"/>
  <c r="AD17" i="18"/>
  <c r="U23" i="18"/>
  <c r="AD23" i="18" s="1"/>
  <c r="U18" i="18"/>
  <c r="U22" i="18"/>
  <c r="AF8" i="12"/>
  <c r="AI8" i="12"/>
  <c r="V8" i="13"/>
  <c r="Y8" i="13"/>
  <c r="J8" i="12"/>
  <c r="M8" i="12"/>
  <c r="X8" i="12"/>
  <c r="W8" i="12"/>
  <c r="Z8" i="12"/>
  <c r="AA8" i="12"/>
  <c r="U8" i="12"/>
  <c r="L8" i="11"/>
  <c r="K8" i="11"/>
  <c r="N8" i="11"/>
  <c r="O8" i="11"/>
  <c r="I8" i="11"/>
  <c r="U14" i="8"/>
  <c r="U11" i="8"/>
  <c r="B14" i="7"/>
  <c r="B11" i="7"/>
  <c r="Z7" i="6"/>
  <c r="N7" i="4"/>
  <c r="O46" i="4" s="1"/>
  <c r="Y7" i="6"/>
  <c r="M7" i="4"/>
  <c r="N46" i="4" s="1"/>
  <c r="U29" i="7"/>
  <c r="C29" i="6"/>
  <c r="V7" i="6"/>
  <c r="J7" i="4"/>
  <c r="K46" i="4" s="1"/>
  <c r="U7" i="6"/>
  <c r="I7" i="4"/>
  <c r="J46" i="4" s="1"/>
  <c r="U31" i="7"/>
  <c r="C31" i="6"/>
  <c r="U30" i="7"/>
  <c r="C30" i="6"/>
  <c r="X7" i="6"/>
  <c r="L7" i="4"/>
  <c r="M46" i="4" s="1"/>
  <c r="AA7" i="6"/>
  <c r="O7" i="4"/>
  <c r="P46" i="4" s="1"/>
  <c r="U40" i="4"/>
  <c r="B40" i="4" s="1"/>
  <c r="W7" i="6"/>
  <c r="K7" i="4"/>
  <c r="L46" i="4" s="1"/>
  <c r="U28" i="7"/>
  <c r="C28" i="6"/>
  <c r="I45" i="3"/>
  <c r="L45" i="3"/>
  <c r="M45" i="3"/>
  <c r="J45" i="3"/>
  <c r="N45" i="3"/>
  <c r="J39" i="3"/>
  <c r="U40" i="3" s="1"/>
  <c r="O45" i="3"/>
  <c r="K45" i="3"/>
  <c r="V7" i="18" a="1"/>
  <c r="Y7" i="18" a="1"/>
  <c r="U11" i="17" a="1"/>
  <c r="U29" i="8" a="1"/>
  <c r="U18" i="19" a="1"/>
  <c r="AA8" i="13" a="1"/>
  <c r="W8" i="13" a="1"/>
  <c r="U14" i="17" a="1"/>
  <c r="U31" i="8" a="1"/>
  <c r="Z8" i="13" a="1"/>
  <c r="U30" i="8" a="1"/>
  <c r="X8" i="13" a="1"/>
  <c r="U8" i="13" a="1"/>
  <c r="U21" i="20" a="1"/>
  <c r="U22" i="19" a="1"/>
  <c r="U17" i="20" a="1"/>
  <c r="U28" i="8" a="1"/>
  <c r="AD17" i="19" l="1"/>
  <c r="U21" i="20"/>
  <c r="U23" i="20" s="1"/>
  <c r="AD23" i="20" s="1"/>
  <c r="U17" i="20"/>
  <c r="U20" i="20" s="1"/>
  <c r="AD20" i="20" s="1"/>
  <c r="AD21" i="19"/>
  <c r="U19" i="19"/>
  <c r="AD19" i="19" s="1"/>
  <c r="U23" i="19"/>
  <c r="AD23" i="19" s="1"/>
  <c r="U22" i="19"/>
  <c r="U18" i="19"/>
  <c r="AD18" i="18"/>
  <c r="AD22" i="18"/>
  <c r="U24" i="18"/>
  <c r="AD24" i="18" s="1"/>
  <c r="Y7" i="18"/>
  <c r="V7" i="18"/>
  <c r="AE8" i="12"/>
  <c r="AK8" i="12"/>
  <c r="AJ8" i="12"/>
  <c r="AG8" i="12"/>
  <c r="AH8" i="12"/>
  <c r="U11" i="17"/>
  <c r="U14" i="17"/>
  <c r="AD11" i="8"/>
  <c r="AD14" i="8"/>
  <c r="M8" i="13"/>
  <c r="AI8" i="13"/>
  <c r="J8" i="13"/>
  <c r="AF8" i="13"/>
  <c r="U8" i="13"/>
  <c r="AA8" i="13"/>
  <c r="AA3" i="13" s="1"/>
  <c r="Z8" i="13"/>
  <c r="W8" i="13"/>
  <c r="X8" i="13"/>
  <c r="I8" i="12"/>
  <c r="O8" i="12"/>
  <c r="N8" i="12"/>
  <c r="K8" i="12"/>
  <c r="L8" i="12"/>
  <c r="A11" i="8"/>
  <c r="A14" i="8"/>
  <c r="U30" i="8"/>
  <c r="U31" i="8"/>
  <c r="U29" i="8"/>
  <c r="U28" i="8"/>
  <c r="C30" i="7"/>
  <c r="C31" i="7"/>
  <c r="C29" i="7"/>
  <c r="C28" i="7"/>
  <c r="X7" i="7"/>
  <c r="Y7" i="7"/>
  <c r="Z7" i="7"/>
  <c r="U7" i="7"/>
  <c r="W7" i="7"/>
  <c r="V7" i="7"/>
  <c r="U35" i="6"/>
  <c r="B35" i="6" s="1"/>
  <c r="AA7" i="7"/>
  <c r="I7" i="6"/>
  <c r="I41" i="6" s="1"/>
  <c r="J7" i="6"/>
  <c r="J41" i="6" s="1"/>
  <c r="K7" i="6"/>
  <c r="K41" i="6" s="1"/>
  <c r="L7" i="6"/>
  <c r="L41" i="6" s="1"/>
  <c r="M7" i="6"/>
  <c r="M41" i="6" s="1"/>
  <c r="N7" i="6"/>
  <c r="N41" i="6" s="1"/>
  <c r="U22" i="20" a="1"/>
  <c r="X7" i="8" a="1"/>
  <c r="Z7" i="8" a="1"/>
  <c r="AA7" i="8" a="1"/>
  <c r="U29" i="17" a="1"/>
  <c r="Y7" i="8" a="1"/>
  <c r="V7" i="8" a="1"/>
  <c r="W7" i="8" a="1"/>
  <c r="U7" i="8" a="1"/>
  <c r="U31" i="17" a="1"/>
  <c r="Z7" i="18" a="1"/>
  <c r="AA7" i="18" a="1"/>
  <c r="U7" i="18" a="1"/>
  <c r="U30" i="17" a="1"/>
  <c r="U18" i="20" a="1"/>
  <c r="X7" i="18" a="1"/>
  <c r="U28" i="17" a="1"/>
  <c r="Y7" i="19" a="1"/>
  <c r="V7" i="19" a="1"/>
  <c r="W7" i="18" a="1"/>
  <c r="AD21" i="20" l="1"/>
  <c r="U18" i="20"/>
  <c r="AD18" i="20" s="1"/>
  <c r="U22" i="20"/>
  <c r="U24" i="20" s="1"/>
  <c r="AD24" i="20" s="1"/>
  <c r="U19" i="20"/>
  <c r="AD19" i="20" s="1"/>
  <c r="AD17" i="20"/>
  <c r="AD18" i="19"/>
  <c r="AD22" i="19"/>
  <c r="U24" i="19"/>
  <c r="AD24" i="19" s="1"/>
  <c r="V7" i="19"/>
  <c r="Y7" i="19"/>
  <c r="J7" i="18"/>
  <c r="M7" i="18"/>
  <c r="AI7" i="18"/>
  <c r="AF7" i="18"/>
  <c r="Z7" i="18"/>
  <c r="U7" i="18"/>
  <c r="W7" i="18"/>
  <c r="AA7" i="18"/>
  <c r="X7" i="18"/>
  <c r="U28" i="17"/>
  <c r="U29" i="17"/>
  <c r="U31" i="17"/>
  <c r="U30" i="17"/>
  <c r="AD28" i="8"/>
  <c r="AD29" i="8"/>
  <c r="AD31" i="8"/>
  <c r="A11" i="17"/>
  <c r="AD11" i="17"/>
  <c r="AD30" i="8"/>
  <c r="AD14" i="17"/>
  <c r="A14" i="17"/>
  <c r="I8" i="13"/>
  <c r="AE8" i="13"/>
  <c r="O8" i="13"/>
  <c r="AK8" i="13"/>
  <c r="L8" i="13"/>
  <c r="AH8" i="13"/>
  <c r="K8" i="13"/>
  <c r="AG8" i="13"/>
  <c r="N8" i="13"/>
  <c r="AJ8" i="13"/>
  <c r="A28" i="8"/>
  <c r="A29" i="8"/>
  <c r="A31" i="8"/>
  <c r="A30" i="8"/>
  <c r="Y7" i="8"/>
  <c r="AI7" i="8" s="1"/>
  <c r="V7" i="8"/>
  <c r="AF7" i="8" s="1"/>
  <c r="AA7" i="8"/>
  <c r="X7" i="8"/>
  <c r="AH7" i="8" s="1"/>
  <c r="Z7" i="8"/>
  <c r="AJ7" i="8" s="1"/>
  <c r="W7" i="8"/>
  <c r="AG7" i="8" s="1"/>
  <c r="U7" i="8"/>
  <c r="M7" i="7"/>
  <c r="M42" i="7" s="1"/>
  <c r="J7" i="7"/>
  <c r="J42" i="7" s="1"/>
  <c r="L7" i="7"/>
  <c r="L42" i="7" s="1"/>
  <c r="N7" i="7"/>
  <c r="N42" i="7" s="1"/>
  <c r="K7" i="7"/>
  <c r="K42" i="7" s="1"/>
  <c r="I7" i="7"/>
  <c r="I42" i="7" s="1"/>
  <c r="U36" i="7"/>
  <c r="O7" i="7"/>
  <c r="O42" i="7" s="1"/>
  <c r="O7" i="6"/>
  <c r="O41" i="6" s="1"/>
  <c r="X7" i="19" a="1"/>
  <c r="Y7" i="20" a="1"/>
  <c r="AA7" i="19" a="1"/>
  <c r="U7" i="19" a="1"/>
  <c r="W7" i="19" a="1"/>
  <c r="V7" i="20" a="1"/>
  <c r="Z7" i="19" a="1"/>
  <c r="AD22" i="20" l="1"/>
  <c r="Y7" i="20"/>
  <c r="AI7" i="20" s="1"/>
  <c r="V7" i="20"/>
  <c r="J7" i="20" s="1"/>
  <c r="K41" i="20" s="1"/>
  <c r="AI7" i="19"/>
  <c r="J7" i="19"/>
  <c r="K41" i="19" s="1"/>
  <c r="AF7" i="19"/>
  <c r="M7" i="19"/>
  <c r="N41" i="19" s="1"/>
  <c r="X7" i="19"/>
  <c r="AA7" i="19"/>
  <c r="W7" i="19"/>
  <c r="U7" i="19"/>
  <c r="Z7" i="19"/>
  <c r="L7" i="18"/>
  <c r="AK7" i="18"/>
  <c r="K7" i="18"/>
  <c r="I7" i="18"/>
  <c r="N7" i="18"/>
  <c r="O7" i="18"/>
  <c r="AE7" i="18"/>
  <c r="AJ7" i="18"/>
  <c r="AH7" i="18"/>
  <c r="AG7" i="18"/>
  <c r="AK7" i="8"/>
  <c r="U35" i="8"/>
  <c r="AD28" i="17"/>
  <c r="A28" i="17"/>
  <c r="AD30" i="17"/>
  <c r="A30" i="17"/>
  <c r="AD31" i="17"/>
  <c r="A31" i="17"/>
  <c r="A29" i="17"/>
  <c r="AD29" i="17"/>
  <c r="AE7" i="8"/>
  <c r="AI7" i="15"/>
  <c r="M7" i="15"/>
  <c r="N41" i="15" s="1"/>
  <c r="AE7" i="15"/>
  <c r="I7" i="15"/>
  <c r="J41" i="15" s="1"/>
  <c r="AK7" i="15"/>
  <c r="O7" i="15"/>
  <c r="P41" i="15" s="1"/>
  <c r="AJ7" i="15"/>
  <c r="N7" i="15"/>
  <c r="O41" i="15" s="1"/>
  <c r="AG7" i="15"/>
  <c r="K7" i="15"/>
  <c r="L41" i="15" s="1"/>
  <c r="AH7" i="15"/>
  <c r="L7" i="15"/>
  <c r="M41" i="15" s="1"/>
  <c r="AF7" i="15"/>
  <c r="J7" i="15"/>
  <c r="K41" i="15" s="1"/>
  <c r="B36" i="7"/>
  <c r="AE7" i="10"/>
  <c r="AG7" i="10"/>
  <c r="AJ7" i="10"/>
  <c r="AH7" i="10"/>
  <c r="AK7" i="10"/>
  <c r="AF7" i="10"/>
  <c r="AI7" i="10"/>
  <c r="I7" i="8"/>
  <c r="J41" i="8" s="1"/>
  <c r="K7" i="8"/>
  <c r="L41" i="8" s="1"/>
  <c r="N7" i="8"/>
  <c r="O41" i="8" s="1"/>
  <c r="L7" i="8"/>
  <c r="M41" i="8" s="1"/>
  <c r="J7" i="8"/>
  <c r="K41" i="8" s="1"/>
  <c r="M7" i="8"/>
  <c r="N41" i="8" s="1"/>
  <c r="O7" i="8"/>
  <c r="P41" i="8" s="1"/>
  <c r="X7" i="20" a="1"/>
  <c r="W7" i="20" a="1"/>
  <c r="AA7" i="20" a="1"/>
  <c r="U7" i="20" a="1"/>
  <c r="Z7" i="20" a="1"/>
  <c r="M7" i="20" l="1"/>
  <c r="N41" i="20" s="1"/>
  <c r="AF7" i="20"/>
  <c r="Z7" i="20"/>
  <c r="AJ7" i="20" s="1"/>
  <c r="U7" i="20"/>
  <c r="AE7" i="20" s="1"/>
  <c r="W7" i="20"/>
  <c r="K7" i="20" s="1"/>
  <c r="L41" i="20" s="1"/>
  <c r="AA7" i="20"/>
  <c r="X7" i="20"/>
  <c r="L7" i="20" s="1"/>
  <c r="M41" i="20" s="1"/>
  <c r="N7" i="19"/>
  <c r="O41" i="19" s="1"/>
  <c r="I7" i="19"/>
  <c r="J41" i="19" s="1"/>
  <c r="AG7" i="19"/>
  <c r="O7" i="19"/>
  <c r="P41" i="19" s="1"/>
  <c r="L7" i="19"/>
  <c r="M41" i="19" s="1"/>
  <c r="AH7" i="19"/>
  <c r="AK7" i="19"/>
  <c r="AJ7" i="19"/>
  <c r="K7" i="19"/>
  <c r="L41" i="19" s="1"/>
  <c r="AE7" i="19"/>
  <c r="A35" i="8"/>
  <c r="AD35" i="8"/>
  <c r="AE7" i="11"/>
  <c r="AJ7" i="11"/>
  <c r="AI7" i="11"/>
  <c r="AF7" i="11"/>
  <c r="AK7" i="11"/>
  <c r="AH7" i="11"/>
  <c r="AG7" i="11"/>
  <c r="I7" i="10"/>
  <c r="J41" i="10" s="1"/>
  <c r="N7" i="10"/>
  <c r="O41" i="10" s="1"/>
  <c r="M7" i="10"/>
  <c r="N41" i="10" s="1"/>
  <c r="J7" i="10"/>
  <c r="K41" i="10" s="1"/>
  <c r="O7" i="10"/>
  <c r="P41" i="10" s="1"/>
  <c r="L7" i="10"/>
  <c r="M41" i="10" s="1"/>
  <c r="K7" i="10"/>
  <c r="L41" i="10" s="1"/>
  <c r="U7" i="12" a="1"/>
  <c r="W7" i="12" a="1"/>
  <c r="Z7" i="12" a="1"/>
  <c r="AA7" i="12" a="1"/>
  <c r="Y7" i="12" a="1"/>
  <c r="X7" i="12" a="1"/>
  <c r="V7" i="12" a="1"/>
  <c r="N7" i="20" l="1"/>
  <c r="O41" i="20" s="1"/>
  <c r="AH7" i="20"/>
  <c r="AG7" i="20"/>
  <c r="I7" i="20"/>
  <c r="J41" i="20" s="1"/>
  <c r="O7" i="20"/>
  <c r="P41" i="20" s="1"/>
  <c r="AK7" i="20"/>
  <c r="A35" i="17"/>
  <c r="AD35" i="17"/>
  <c r="W7" i="12"/>
  <c r="Y7" i="12"/>
  <c r="Z7" i="12"/>
  <c r="U7" i="12"/>
  <c r="AA7" i="12"/>
  <c r="V7" i="12"/>
  <c r="X7" i="12"/>
  <c r="K7" i="11"/>
  <c r="L41" i="11" s="1"/>
  <c r="M7" i="11"/>
  <c r="N41" i="11" s="1"/>
  <c r="N7" i="11"/>
  <c r="O41" i="11" s="1"/>
  <c r="I7" i="11"/>
  <c r="J41" i="11" s="1"/>
  <c r="O7" i="11"/>
  <c r="P41" i="11" s="1"/>
  <c r="J7" i="11"/>
  <c r="K41" i="11" s="1"/>
  <c r="L7" i="11"/>
  <c r="M41" i="11" s="1"/>
  <c r="W7" i="13" a="1"/>
  <c r="Z7" i="13" a="1"/>
  <c r="Y7" i="13" a="1"/>
  <c r="V7" i="13" a="1"/>
  <c r="AA7" i="13" a="1"/>
  <c r="X7" i="13" a="1"/>
  <c r="U7" i="13" a="1"/>
  <c r="AE7" i="12" l="1"/>
  <c r="AI7" i="12"/>
  <c r="AH7" i="12"/>
  <c r="AF7" i="12"/>
  <c r="AJ7" i="12"/>
  <c r="AG7" i="12"/>
  <c r="U35" i="12"/>
  <c r="AK7" i="12"/>
  <c r="X7" i="13"/>
  <c r="V7" i="13"/>
  <c r="AA7" i="13"/>
  <c r="U7" i="13"/>
  <c r="U3" i="13" s="1"/>
  <c r="Z7" i="13"/>
  <c r="Y7" i="13"/>
  <c r="W7" i="13"/>
  <c r="L7" i="12"/>
  <c r="M41" i="12" s="1"/>
  <c r="J7" i="12"/>
  <c r="K41" i="12" s="1"/>
  <c r="O7" i="12"/>
  <c r="P41" i="12" s="1"/>
  <c r="I7" i="12"/>
  <c r="J41" i="12" s="1"/>
  <c r="N7" i="12"/>
  <c r="O41" i="12" s="1"/>
  <c r="M7" i="12"/>
  <c r="N41" i="12" s="1"/>
  <c r="K7" i="12"/>
  <c r="L41" i="12" s="1"/>
  <c r="AA8" i="18" a="1"/>
  <c r="V8" i="18" a="1"/>
  <c r="Z8" i="18" a="1"/>
  <c r="Y8" i="18" a="1"/>
  <c r="U8" i="18" a="1"/>
  <c r="X8" i="18" a="1"/>
  <c r="W8" i="18" a="1"/>
  <c r="V8" i="18" l="1"/>
  <c r="W8" i="18"/>
  <c r="Y8" i="18"/>
  <c r="Z8" i="18"/>
  <c r="U8" i="18"/>
  <c r="AA8" i="18"/>
  <c r="X8" i="18"/>
  <c r="U35" i="13"/>
  <c r="AK7" i="13"/>
  <c r="J7" i="13"/>
  <c r="K41" i="13" s="1"/>
  <c r="AF7" i="13"/>
  <c r="K7" i="13"/>
  <c r="L41" i="13" s="1"/>
  <c r="AG7" i="13"/>
  <c r="M7" i="13"/>
  <c r="N41" i="13" s="1"/>
  <c r="AI7" i="13"/>
  <c r="N7" i="13"/>
  <c r="O41" i="13" s="1"/>
  <c r="AJ7" i="13"/>
  <c r="L7" i="13"/>
  <c r="M41" i="13" s="1"/>
  <c r="AH7" i="13"/>
  <c r="I7" i="13"/>
  <c r="J41" i="13" s="1"/>
  <c r="AE7" i="13"/>
  <c r="O7" i="13"/>
  <c r="P41" i="13" s="1"/>
  <c r="Y8" i="19" a="1"/>
  <c r="U11" i="15" a="1"/>
  <c r="W8" i="19" a="1"/>
  <c r="X8" i="19" a="1"/>
  <c r="AA8" i="19" a="1"/>
  <c r="V8" i="19" a="1"/>
  <c r="U30" i="15" a="1"/>
  <c r="Z8" i="19" a="1"/>
  <c r="U8" i="19" a="1"/>
  <c r="U28" i="15" a="1"/>
  <c r="U14" i="15" a="1"/>
  <c r="U29" i="15" a="1"/>
  <c r="U31" i="15" a="1"/>
  <c r="U37" i="13" l="1"/>
  <c r="U36" i="13"/>
  <c r="Z8" i="19"/>
  <c r="U8" i="19"/>
  <c r="Y8" i="19"/>
  <c r="W8" i="19"/>
  <c r="AA8" i="19"/>
  <c r="X8" i="19"/>
  <c r="V8" i="19"/>
  <c r="N8" i="18"/>
  <c r="O41" i="18" s="1"/>
  <c r="I8" i="18"/>
  <c r="J41" i="18" s="1"/>
  <c r="M8" i="18"/>
  <c r="N41" i="18" s="1"/>
  <c r="K8" i="18"/>
  <c r="L41" i="18" s="1"/>
  <c r="U35" i="18"/>
  <c r="AH8" i="18"/>
  <c r="J8" i="18"/>
  <c r="K41" i="18" s="1"/>
  <c r="L8" i="18"/>
  <c r="M41" i="18" s="1"/>
  <c r="AK8" i="18"/>
  <c r="AG8" i="18"/>
  <c r="AF8" i="18"/>
  <c r="O8" i="18"/>
  <c r="P41" i="18" s="1"/>
  <c r="AJ8" i="18"/>
  <c r="AE8" i="18"/>
  <c r="AI8" i="18"/>
  <c r="U30" i="15"/>
  <c r="U11" i="15"/>
  <c r="U14" i="15"/>
  <c r="U28" i="15"/>
  <c r="U31" i="15"/>
  <c r="U29" i="15"/>
  <c r="AA8" i="20" a="1"/>
  <c r="V8" i="20" a="1"/>
  <c r="W8" i="20" a="1"/>
  <c r="U30" i="10" a="1"/>
  <c r="U8" i="20" a="1"/>
  <c r="U29" i="10" a="1"/>
  <c r="Y8" i="20" a="1"/>
  <c r="Z8" i="20" a="1"/>
  <c r="U28" i="10" a="1"/>
  <c r="X8" i="20" a="1"/>
  <c r="U14" i="10" a="1"/>
  <c r="U31" i="10" a="1"/>
  <c r="U11" i="10" a="1"/>
  <c r="U36" i="18" l="1"/>
  <c r="U37" i="18"/>
  <c r="A35" i="18"/>
  <c r="V8" i="20"/>
  <c r="AF8" i="20" s="1"/>
  <c r="W8" i="20"/>
  <c r="AG8" i="20" s="1"/>
  <c r="Y8" i="20"/>
  <c r="AI8" i="20" s="1"/>
  <c r="U8" i="20"/>
  <c r="I8" i="20" s="1"/>
  <c r="X8" i="20"/>
  <c r="AH8" i="20" s="1"/>
  <c r="AA8" i="20"/>
  <c r="AK8" i="20" s="1"/>
  <c r="Z8" i="20"/>
  <c r="N8" i="20" s="1"/>
  <c r="J8" i="19"/>
  <c r="AG8" i="19"/>
  <c r="AI8" i="19"/>
  <c r="I8" i="19"/>
  <c r="AH8" i="19"/>
  <c r="U35" i="19"/>
  <c r="A35" i="19" s="1"/>
  <c r="N8" i="19"/>
  <c r="AJ8" i="19"/>
  <c r="AF8" i="19"/>
  <c r="O8" i="19"/>
  <c r="AK8" i="19"/>
  <c r="AE8" i="19"/>
  <c r="M8" i="19"/>
  <c r="AD35" i="18"/>
  <c r="L8" i="19"/>
  <c r="K8" i="19"/>
  <c r="U31" i="10"/>
  <c r="U28" i="10"/>
  <c r="U11" i="10"/>
  <c r="U30" i="10"/>
  <c r="U14" i="10"/>
  <c r="U29" i="10"/>
  <c r="AD31" i="15"/>
  <c r="A31" i="15"/>
  <c r="A28" i="15"/>
  <c r="AD28" i="15"/>
  <c r="AD11" i="15"/>
  <c r="A11" i="15"/>
  <c r="A30" i="15"/>
  <c r="AD30" i="15"/>
  <c r="AD14" i="15"/>
  <c r="A14" i="15"/>
  <c r="AD21" i="15"/>
  <c r="AD19" i="15"/>
  <c r="AD17" i="15"/>
  <c r="AD35" i="15"/>
  <c r="A35" i="15"/>
  <c r="AD20" i="15"/>
  <c r="AD22" i="15"/>
  <c r="A29" i="15"/>
  <c r="AD29" i="15"/>
  <c r="AD18" i="15"/>
  <c r="U11" i="11" a="1"/>
  <c r="U30" i="11" a="1"/>
  <c r="U29" i="11" a="1"/>
  <c r="U31" i="11" a="1"/>
  <c r="U28" i="11" a="1"/>
  <c r="U14" i="11" a="1"/>
  <c r="L8" i="20" l="1"/>
  <c r="AE8" i="20"/>
  <c r="M8" i="20"/>
  <c r="AJ8" i="20"/>
  <c r="J8" i="20"/>
  <c r="O8" i="20"/>
  <c r="U35" i="20"/>
  <c r="AD35" i="20" s="1"/>
  <c r="AD35" i="19"/>
  <c r="K8" i="20"/>
  <c r="U29" i="11"/>
  <c r="U28" i="11"/>
  <c r="U14" i="11"/>
  <c r="U30" i="11"/>
  <c r="U11" i="11"/>
  <c r="U31" i="11"/>
  <c r="AD29" i="10"/>
  <c r="A29" i="10"/>
  <c r="AD22" i="10"/>
  <c r="AD20" i="10"/>
  <c r="A35" i="10"/>
  <c r="AD35" i="10"/>
  <c r="AD17" i="10"/>
  <c r="AD19" i="10"/>
  <c r="A28" i="10"/>
  <c r="AD28" i="10"/>
  <c r="AD21" i="10"/>
  <c r="AD14" i="10"/>
  <c r="A14" i="10"/>
  <c r="AD30" i="10"/>
  <c r="A30" i="10"/>
  <c r="A11" i="10"/>
  <c r="AD11" i="10"/>
  <c r="AD18" i="10"/>
  <c r="A31" i="10"/>
  <c r="AD31" i="10"/>
  <c r="U11" i="12" a="1"/>
  <c r="U29" i="12" a="1"/>
  <c r="U30" i="12" a="1"/>
  <c r="U28" i="12" a="1"/>
  <c r="U14" i="12" a="1"/>
  <c r="U31" i="12" a="1"/>
  <c r="A35" i="20" l="1"/>
  <c r="U11" i="12"/>
  <c r="U28" i="12"/>
  <c r="U14" i="12"/>
  <c r="U30" i="12"/>
  <c r="U31" i="12"/>
  <c r="U29" i="12"/>
  <c r="A11" i="11"/>
  <c r="AD11" i="11"/>
  <c r="A28" i="11"/>
  <c r="AD28" i="11"/>
  <c r="A14" i="11"/>
  <c r="AD14" i="11"/>
  <c r="AD19" i="11"/>
  <c r="A35" i="11"/>
  <c r="AD35" i="11"/>
  <c r="AD18" i="11"/>
  <c r="A30" i="11"/>
  <c r="AD30" i="11"/>
  <c r="AD21" i="11"/>
  <c r="AD20" i="11"/>
  <c r="AD22" i="11"/>
  <c r="AD17" i="11"/>
  <c r="AD31" i="11"/>
  <c r="A31" i="11"/>
  <c r="AD29" i="11"/>
  <c r="A29" i="11"/>
  <c r="U29" i="13" a="1"/>
  <c r="U30" i="13" a="1"/>
  <c r="U31" i="13" a="1"/>
  <c r="U28" i="13" a="1"/>
  <c r="U11" i="13" a="1"/>
  <c r="U14" i="13" a="1"/>
  <c r="AD20" i="13" l="1"/>
  <c r="U31" i="13"/>
  <c r="AD17" i="13"/>
  <c r="AD22" i="13"/>
  <c r="U30" i="13"/>
  <c r="AD21" i="13"/>
  <c r="U28" i="13"/>
  <c r="AD18" i="13"/>
  <c r="AD19" i="13"/>
  <c r="U14" i="13"/>
  <c r="U29" i="13"/>
  <c r="U11" i="13"/>
  <c r="AD20" i="12"/>
  <c r="A31" i="12"/>
  <c r="AD31" i="12"/>
  <c r="AD17" i="12"/>
  <c r="AD22" i="12"/>
  <c r="AD30" i="12"/>
  <c r="A30" i="12"/>
  <c r="AD21" i="12"/>
  <c r="AD28" i="12"/>
  <c r="A28" i="12"/>
  <c r="AD18" i="12"/>
  <c r="AD35" i="12"/>
  <c r="A35" i="12"/>
  <c r="AD19" i="12"/>
  <c r="AD14" i="12"/>
  <c r="A14" i="12"/>
  <c r="AD29" i="12"/>
  <c r="A29" i="12"/>
  <c r="A11" i="12"/>
  <c r="AD11" i="12"/>
  <c r="U31" i="18" a="1"/>
  <c r="U28" i="18" a="1"/>
  <c r="U29" i="18" a="1"/>
  <c r="U14" i="18" a="1"/>
  <c r="U11" i="18" a="1"/>
  <c r="U30" i="18" a="1"/>
  <c r="U28" i="18" l="1"/>
  <c r="U30" i="18"/>
  <c r="U31" i="18"/>
  <c r="U11" i="18"/>
  <c r="U14" i="18"/>
  <c r="U29" i="18"/>
  <c r="A28" i="13"/>
  <c r="AD28" i="13"/>
  <c r="AD30" i="13"/>
  <c r="A30" i="13"/>
  <c r="AD29" i="13"/>
  <c r="A29" i="13"/>
  <c r="AD14" i="13"/>
  <c r="A14" i="13"/>
  <c r="A35" i="13"/>
  <c r="AD35" i="13"/>
  <c r="AD31" i="13"/>
  <c r="A31" i="13"/>
  <c r="AD11" i="13"/>
  <c r="A11" i="13"/>
  <c r="U28" i="19" a="1"/>
  <c r="U29" i="19" a="1"/>
  <c r="U31" i="19" a="1"/>
  <c r="U30" i="19" a="1"/>
  <c r="U14" i="19" a="1"/>
  <c r="U11" i="19" a="1"/>
  <c r="U11" i="19" l="1"/>
  <c r="U29" i="19"/>
  <c r="U30" i="19"/>
  <c r="U14" i="19"/>
  <c r="U31" i="19"/>
  <c r="U28" i="19"/>
  <c r="A11" i="18"/>
  <c r="A29" i="18"/>
  <c r="AD30" i="18"/>
  <c r="A14" i="18"/>
  <c r="AD31" i="18"/>
  <c r="AD28" i="18"/>
  <c r="A30" i="18"/>
  <c r="A28" i="18"/>
  <c r="AD11" i="18"/>
  <c r="AD14" i="18"/>
  <c r="AD29" i="18"/>
  <c r="A31" i="18"/>
  <c r="U30" i="20" a="1"/>
  <c r="U11" i="20" a="1"/>
  <c r="U31" i="20" a="1"/>
  <c r="U28" i="20" a="1"/>
  <c r="U14" i="20" a="1"/>
  <c r="U29" i="20" a="1"/>
  <c r="U28" i="20" l="1"/>
  <c r="A28" i="20" s="1"/>
  <c r="U31" i="20"/>
  <c r="A31" i="20" s="1"/>
  <c r="U14" i="20"/>
  <c r="A14" i="20" s="1"/>
  <c r="U30" i="20"/>
  <c r="AD30" i="20" s="1"/>
  <c r="U11" i="20"/>
  <c r="AD11" i="20" s="1"/>
  <c r="U29" i="20"/>
  <c r="AD29" i="20" s="1"/>
  <c r="AD28" i="19"/>
  <c r="AD31" i="19"/>
  <c r="A14" i="19"/>
  <c r="A30" i="19"/>
  <c r="AD11" i="19"/>
  <c r="AD29" i="19"/>
  <c r="A31" i="19"/>
  <c r="A28" i="19"/>
  <c r="AD30" i="19"/>
  <c r="AD14" i="19"/>
  <c r="A11" i="19"/>
  <c r="A29" i="19"/>
  <c r="AD28" i="20" l="1"/>
  <c r="A29" i="20"/>
  <c r="AD14" i="20"/>
  <c r="A11" i="20"/>
  <c r="AD31" i="20"/>
  <c r="A30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Effective January 1, 2017 No change to schedules until July 1, 2017.
Effective July 1, 2017: 
Increase all wage and longevity steps 2.0%
Increase all Shift Differential rates 2.0% (See Section 10.06)
Step progression is allowed.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Effective July 1, 2017: 
Increase all wage and longevity steps 2.0%
Increase all Shift Differential rates 2.0% (See Section 10.06)
Step progression is allowed.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A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Effective January 1, 2018: 
Increase all wage and longevity steps 1.35%
Increase all Shift Differential rates 1.35% (See Section 10.06)
Step progression is allowed. 
Effective January 1, 2018,  the Coaching/Training Premium is converted to an hourly "as worked" premium at the rate of 20% of the 911 Dispatcher's Top-Step Rate of pay for all hours assigned and performing coaching/training.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<sst xmlns="http://schemas.openxmlformats.org/spreadsheetml/2006/main" count="1889" uniqueCount="179">
  <si>
    <t>Minnesota Public Employees Association 9 (CMN)</t>
  </si>
  <si>
    <t xml:space="preserve"> </t>
  </si>
  <si>
    <t xml:space="preserve">Step movement is permitted </t>
  </si>
  <si>
    <t>Job</t>
  </si>
  <si>
    <t>1st</t>
  </si>
  <si>
    <t>2nd</t>
  </si>
  <si>
    <t>3rd</t>
  </si>
  <si>
    <t>4th</t>
  </si>
  <si>
    <t>5th</t>
  </si>
  <si>
    <t>6th</t>
  </si>
  <si>
    <t>7th</t>
  </si>
  <si>
    <t>Code</t>
  </si>
  <si>
    <t>FLSA</t>
  </si>
  <si>
    <t>OTC</t>
  </si>
  <si>
    <t>Classification Title</t>
  </si>
  <si>
    <t>PTS</t>
  </si>
  <si>
    <t>G</t>
  </si>
  <si>
    <t>P</t>
  </si>
  <si>
    <t>Step</t>
  </si>
  <si>
    <t>N</t>
  </si>
  <si>
    <t>H</t>
  </si>
  <si>
    <t>00011C</t>
  </si>
  <si>
    <t>911 Dispatcher</t>
  </si>
  <si>
    <t xml:space="preserve">per hour for all hours worked </t>
  </si>
  <si>
    <t>For employees who work the shift as part of their regularly scheduled hours, the shift differential shall be considered a part of their base</t>
  </si>
  <si>
    <t>wage for purposes of calculating overtime compensation.  For employees who regularly work a shift that does not qualify for the shift</t>
  </si>
  <si>
    <t>differential, the shift differential shall be paid for all hours actually worked on a qualifying shift, but shall not be a part of the base wage</t>
  </si>
  <si>
    <t>for overtime.</t>
  </si>
  <si>
    <t>Longevity Pay</t>
  </si>
  <si>
    <t xml:space="preserve">Provided that employees in this section shall receive the following longevity.  </t>
  </si>
  <si>
    <t>hourly longevity beginning at the 10th year of service.</t>
  </si>
  <si>
    <t>hourly longevity beginning at the 15th year of service.</t>
  </si>
  <si>
    <t>hourly longevity beginning at the 20th year of service.</t>
  </si>
  <si>
    <t>hourly longevity beginning at the 25th year of service.</t>
  </si>
  <si>
    <t>Certification Premium</t>
  </si>
  <si>
    <t>Coaching/Training Premium</t>
  </si>
  <si>
    <t>Effective on January 1 2017:</t>
  </si>
  <si>
    <t>Effective on July 1 2017:</t>
  </si>
  <si>
    <t>Effective on January 1 2018:</t>
  </si>
  <si>
    <t>Effective on July 1 2019:</t>
  </si>
  <si>
    <t>An annual certification premium of $1200 shall be payable to every Dispatcher holding an Emergency Police Dispatcher and Emergency</t>
  </si>
  <si>
    <t xml:space="preserve">Fire Dispatcher certification on October 1st. </t>
  </si>
  <si>
    <t xml:space="preserve">Coaching/Training Premium = </t>
  </si>
  <si>
    <t xml:space="preserve">Volunteer coaches and trainers shall be compensated at a rate equal to one (1) hour of overtime for each eight (8) hour </t>
  </si>
  <si>
    <t>training shift.  Notwithstanding the provisions of the Agreement to the contrary, no express or prior approval shall be required</t>
  </si>
  <si>
    <t>in connection with the first full hour of overtime work required in connection with the program on any training day, if any;</t>
  </si>
  <si>
    <t xml:space="preserve">prior approval will be presumed.  Moreover, the first full hour of training program overtime work on any training day shall be </t>
  </si>
  <si>
    <t>considered paid for by the training compensation described and provided for above.  Should the Department decide</t>
  </si>
  <si>
    <t>to modify or discontinue the voluntary coach/trainer program, they shall meet and confer with the Union prior to the effective</t>
  </si>
  <si>
    <t>date of any decision.</t>
  </si>
  <si>
    <t xml:space="preserve">In addition to their base rate of pay, employees shall be paid </t>
  </si>
  <si>
    <t xml:space="preserve">per hour for all hours worked on any shift that begins </t>
  </si>
  <si>
    <t xml:space="preserve">on any shift that begins between 2:30 p.m. and 3:45 a.m. </t>
  </si>
  <si>
    <t>between 10:15 a.m. and 2:29 p.m., and for employees working 12-hour shifts, for all hours between 2:30 p.m. and 6:30 p.m.</t>
  </si>
  <si>
    <t>There shall be no duplication or pyramiding of the overtime and/or premium rates of pay under a premium paid as a lump sum each year.</t>
  </si>
  <si>
    <t xml:space="preserve">per hour assigned and coaching/training. </t>
  </si>
  <si>
    <t>Shift Differentials:</t>
  </si>
  <si>
    <t xml:space="preserve">For all coaching/training hours assigned and worked, 911 Dispatchers shall receive an additional premium equal to 20% of the 911 </t>
  </si>
  <si>
    <t xml:space="preserve">Dispatcher's hourly top-step rate of pay. </t>
  </si>
  <si>
    <t xml:space="preserve">Employees who qualify for shift differential due to working a flex time schedule of their own choosing do not qualify to receive the premium. </t>
  </si>
  <si>
    <t>Employee's regular Step</t>
  </si>
  <si>
    <t>Lump-sum Premium</t>
  </si>
  <si>
    <t xml:space="preserve">In addition to their normal base rate of pay, an employee assigned to perform short-term, limited supervisory duties for a minimum of eight (8) </t>
  </si>
  <si>
    <t>hours shall receive a lump-sum premium equal to one hour of overtime in accordance with the employee's base rate of pay as shown below.</t>
  </si>
  <si>
    <t>Shift-Lead Premium</t>
  </si>
  <si>
    <t>Brenda Miller</t>
  </si>
  <si>
    <t>Class
Grade</t>
  </si>
  <si>
    <t>Pay
Type</t>
  </si>
  <si>
    <t>Salary
Grade</t>
  </si>
  <si>
    <t>02</t>
  </si>
  <si>
    <t>Completed audit of 7/1/19 rates against PeopleSoft rates</t>
  </si>
  <si>
    <t>Step 1</t>
  </si>
  <si>
    <t>Step 2</t>
  </si>
  <si>
    <t>Step 3</t>
  </si>
  <si>
    <t>Step 4</t>
  </si>
  <si>
    <t>Step 5</t>
  </si>
  <si>
    <t>Step 6</t>
  </si>
  <si>
    <t>Step 7</t>
  </si>
  <si>
    <t>Job
Code</t>
  </si>
  <si>
    <t>PercInc2019</t>
  </si>
  <si>
    <t>Update</t>
  </si>
  <si>
    <t>Y</t>
  </si>
  <si>
    <t>CMNEVE</t>
  </si>
  <si>
    <t>TL-Evening Shift Premium-CMN</t>
  </si>
  <si>
    <t>CMNNIT</t>
  </si>
  <si>
    <t>TL-Night Shift Premium-CMN</t>
  </si>
  <si>
    <t>10th Year</t>
  </si>
  <si>
    <t>15th Year</t>
  </si>
  <si>
    <t>20th Year</t>
  </si>
  <si>
    <t>25th Year</t>
  </si>
  <si>
    <t>Emergency Dispatch</t>
  </si>
  <si>
    <t>No Code</t>
  </si>
  <si>
    <t>No Code 2</t>
  </si>
  <si>
    <t>Longevity</t>
  </si>
  <si>
    <t>Added green columns</t>
  </si>
  <si>
    <t xml:space="preserve">between 2:30 p.m. and 3:45 a.m. </t>
  </si>
  <si>
    <t>=Step 7 rate * .2</t>
  </si>
  <si>
    <t>No Code 1</t>
  </si>
  <si>
    <t>=Regular step rate * 1.5</t>
  </si>
  <si>
    <t>Effective on January 1 2020:</t>
  </si>
  <si>
    <t>PercInc2020</t>
  </si>
  <si>
    <t>PercInc2021</t>
  </si>
  <si>
    <t xml:space="preserve">Effective January 1, 2019: No Changes. </t>
  </si>
  <si>
    <t>Effective July 1, 2019</t>
  </si>
  <si>
    <t>Increase all wage and longevity steps 2.25%</t>
  </si>
  <si>
    <t>Increase all Shift Differential rates 2.25% (see Section 10.06)</t>
  </si>
  <si>
    <t xml:space="preserve">Step progression is allowed. </t>
  </si>
  <si>
    <t>Unknown</t>
  </si>
  <si>
    <t>Pam Nelms</t>
  </si>
  <si>
    <t>Created 1/1/2020 and 1/121 tabs</t>
  </si>
  <si>
    <t>Effective 1/1/20 - increase in wages of 1%; no changes to longevity, no increase in premiums unless it is a percent of the wages; removed Certification Premium</t>
  </si>
  <si>
    <t>Effective 1/1/21 - increase in wages of 1.5%; no changes to longevity, no increase in premiums unless it is a percent of the wages; removed Certification Premium</t>
  </si>
  <si>
    <t>911 Operator</t>
  </si>
  <si>
    <t>00020C</t>
  </si>
  <si>
    <t>Added 911 Operator to 1/1/21 tab</t>
  </si>
  <si>
    <t>911 Call Taker</t>
  </si>
  <si>
    <t>Effective on January 1 2021</t>
  </si>
  <si>
    <t>Rates2021</t>
  </si>
  <si>
    <t>PercInc2022</t>
  </si>
  <si>
    <t>References</t>
  </si>
  <si>
    <r>
      <t xml:space="preserve">Effective on January 1, 2023 </t>
    </r>
    <r>
      <rPr>
        <i/>
        <sz val="12"/>
        <rFont val="Calibri"/>
        <family val="2"/>
        <scheme val="minor"/>
      </rPr>
      <t>(2.5% increase)</t>
    </r>
  </si>
  <si>
    <r>
      <t xml:space="preserve">Effective on January 1, 2022 </t>
    </r>
    <r>
      <rPr>
        <i/>
        <sz val="12"/>
        <rFont val="Calibri"/>
        <family val="2"/>
        <scheme val="minor"/>
      </rPr>
      <t>(2.5% increase)</t>
    </r>
  </si>
  <si>
    <t>Rates2022</t>
  </si>
  <si>
    <t>PercInc2023</t>
  </si>
  <si>
    <t>Rates2023</t>
  </si>
  <si>
    <r>
      <t xml:space="preserve">Effective on April 1, 2023 </t>
    </r>
    <r>
      <rPr>
        <i/>
        <sz val="12"/>
        <rFont val="Calibri"/>
        <family val="2"/>
        <scheme val="minor"/>
      </rPr>
      <t>(0.75% market adjustment)</t>
    </r>
  </si>
  <si>
    <t>PercIncApril2023</t>
  </si>
  <si>
    <t>RatesApril2023</t>
  </si>
  <si>
    <t>PercIncApril2024</t>
  </si>
  <si>
    <t>PercInc2024</t>
  </si>
  <si>
    <t>Rates2024</t>
  </si>
  <si>
    <r>
      <t xml:space="preserve">Effective on April 1, 2024 </t>
    </r>
    <r>
      <rPr>
        <i/>
        <sz val="12"/>
        <rFont val="Calibri"/>
        <family val="2"/>
        <scheme val="minor"/>
      </rPr>
      <t>(0.75% market adjustment)</t>
    </r>
  </si>
  <si>
    <t>01</t>
  </si>
  <si>
    <t>HRIS &amp; Payroll</t>
  </si>
  <si>
    <t>NFF</t>
  </si>
  <si>
    <t>NFT</t>
  </si>
  <si>
    <t>NFG</t>
  </si>
  <si>
    <t>NBF</t>
  </si>
  <si>
    <t>NBT</t>
  </si>
  <si>
    <t>NBG</t>
  </si>
  <si>
    <t>COA</t>
  </si>
  <si>
    <t>NFF x 1.5</t>
  </si>
  <si>
    <t>NFF x 2</t>
  </si>
  <si>
    <t>NBF x 1.5</t>
  </si>
  <si>
    <t>NBF x 2</t>
  </si>
  <si>
    <t>Earnings Codes</t>
  </si>
  <si>
    <t>Higher shift rate x 2.0</t>
  </si>
  <si>
    <t>Higher shift rate</t>
  </si>
  <si>
    <t>Higher shift rate x 1.5</t>
  </si>
  <si>
    <t>Lower shift rate</t>
  </si>
  <si>
    <t>Lower shift rate x 1.5</t>
  </si>
  <si>
    <t>Lower shift rate x 2.0</t>
  </si>
  <si>
    <r>
      <t xml:space="preserve">Effective on January 1, 2024 </t>
    </r>
    <r>
      <rPr>
        <i/>
        <sz val="12"/>
        <rFont val="Calibri"/>
        <family val="2"/>
        <scheme val="minor"/>
      </rPr>
      <t>(2.5% increase)</t>
    </r>
  </si>
  <si>
    <t>RatesSept2022</t>
  </si>
  <si>
    <r>
      <t xml:space="preserve">Effective on September 25, 2022 </t>
    </r>
    <r>
      <rPr>
        <i/>
        <sz val="12"/>
        <rFont val="Calibri"/>
        <family val="2"/>
        <scheme val="minor"/>
      </rPr>
      <t>(13.47% increase for base pay only)</t>
    </r>
  </si>
  <si>
    <t>Erick Howatt</t>
  </si>
  <si>
    <t>Updated salary schedules on 10/10/2022, 1/1/2023 and 4/1/2023 for 911 Dispatchers and 911 Call Takers</t>
  </si>
  <si>
    <t>03</t>
  </si>
  <si>
    <t>04</t>
  </si>
  <si>
    <t>RatesApril2024</t>
  </si>
  <si>
    <t>PercIncr2025</t>
  </si>
  <si>
    <t>NBJ</t>
  </si>
  <si>
    <t>Higher shift rate x 2.5</t>
  </si>
  <si>
    <t>Lower shift rate x 2.5</t>
  </si>
  <si>
    <t>NFJ</t>
  </si>
  <si>
    <t>Public Safety Telecommunicators II</t>
  </si>
  <si>
    <t>Public Safety Telecommunicators III</t>
  </si>
  <si>
    <r>
      <t xml:space="preserve">Effective on January 1, 2025 </t>
    </r>
    <r>
      <rPr>
        <i/>
        <sz val="12"/>
        <rFont val="Calibri"/>
        <family val="2"/>
        <scheme val="minor"/>
      </rPr>
      <t>(4% Increase)</t>
    </r>
  </si>
  <si>
    <t>Rates2025</t>
  </si>
  <si>
    <t>PercIncr2026</t>
  </si>
  <si>
    <t>Rates2026</t>
  </si>
  <si>
    <t>PercIncr2027</t>
  </si>
  <si>
    <r>
      <t xml:space="preserve">Effective on January 1, 2027 </t>
    </r>
    <r>
      <rPr>
        <i/>
        <sz val="12"/>
        <rFont val="Calibri"/>
        <family val="2"/>
        <scheme val="minor"/>
      </rPr>
      <t>(3% Increase)</t>
    </r>
  </si>
  <si>
    <r>
      <t xml:space="preserve">Effective on January 1, 2026 </t>
    </r>
    <r>
      <rPr>
        <i/>
        <sz val="12"/>
        <rFont val="Calibri"/>
        <family val="2"/>
        <scheme val="minor"/>
      </rPr>
      <t>(4% Increase)</t>
    </r>
  </si>
  <si>
    <t>CO2</t>
  </si>
  <si>
    <t>CO3</t>
  </si>
  <si>
    <t xml:space="preserve">Coaching Premium for CMN (MNPEA), 1.5x rate </t>
  </si>
  <si>
    <t xml:space="preserve">Coaching Premium for CMN (MNPEA), 2.0x rate </t>
  </si>
  <si>
    <t>Last Updated February 13,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</si>
</sst>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_);_(* \(#,##0\);_(* &quot;-&quot;??_);_(@_)"/>
    <numFmt numFmtId="165" formatCode="&quot;$&quot;#,##0.000"/>
    <numFmt numFmtId="166" formatCode="&quot;$&quot;#,##0.0000_);[Red]\(&quot;$&quot;#,##0.0000\)"/>
    <numFmt numFmtId="167" formatCode="&quot;$&quot;#,##0.000_);[Red]\(&quot;$&quot;#,##0.000\)"/>
    <numFmt numFmtId="168" formatCode="&quot;$&quot;#,##0.00"/>
    <numFmt numFmtId="169" formatCode="&quot;$&quot;#,##0"/>
    <numFmt numFmtId="170" formatCode="0.0%"/>
  </numFmts>
  <fonts count="18">
    <font>
      <sz val="10"/>
      <name val="Arial"/>
      <family val="2"/>
    </font>
    <font>
      <sz val="10"/>
      <name val="Arial Unicode MS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b/>
      <u/>
      <sz val="12"/>
      <name val="Calibri"/>
      <family val="2"/>
      <scheme val="minor"/>
    </font>
    <font>
      <sz val="9"/>
      <name val="Arial"/>
      <family val="2"/>
    </font>
    <font>
      <i/>
      <sz val="12"/>
      <name val="Calibri"/>
      <family val="2"/>
      <scheme val="minor"/>
    </font>
    <font>
      <u/>
      <sz val="12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54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horizontal="left"/>
    </xf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3" fillId="0" borderId="2">
      <alignment horizontal="center"/>
    </xf>
    <xf numFmtId="3" fontId="2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27">
    <xf numFmtId="0" fontId="0" fillId="0" borderId="0" xfId="0"/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164" fontId="7" fillId="0" borderId="0" xfId="0" applyNumberFormat="1" applyFont="1" applyFill="1" applyAlignment="1" applyProtection="1">
      <alignment horizontal="center"/>
      <protection hidden="1"/>
    </xf>
    <xf numFmtId="0" fontId="6" fillId="0" borderId="0" xfId="0" applyFont="1" applyFill="1" applyProtection="1">
      <protection hidden="1"/>
    </xf>
    <xf numFmtId="0" fontId="7" fillId="0" borderId="0" xfId="0" applyFont="1" applyFill="1" applyBorder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center"/>
      <protection hidden="1"/>
    </xf>
    <xf numFmtId="164" fontId="6" fillId="0" borderId="0" xfId="0" applyNumberFormat="1" applyFont="1" applyFill="1" applyAlignment="1" applyProtection="1">
      <alignment horizontal="center"/>
      <protection hidden="1"/>
    </xf>
    <xf numFmtId="0" fontId="6" fillId="0" borderId="1" xfId="0" applyFont="1" applyFill="1" applyBorder="1" applyAlignment="1" applyProtection="1">
      <alignment horizontal="left"/>
      <protection hidden="1"/>
    </xf>
    <xf numFmtId="0" fontId="6" fillId="0" borderId="1" xfId="0" applyFont="1" applyFill="1" applyBorder="1" applyAlignment="1" applyProtection="1">
      <alignment horizontal="center"/>
      <protection hidden="1"/>
    </xf>
    <xf numFmtId="164" fontId="6" fillId="0" borderId="1" xfId="0" applyNumberFormat="1" applyFont="1" applyFill="1" applyBorder="1" applyAlignment="1" applyProtection="1">
      <alignment horizontal="center"/>
      <protection hidden="1"/>
    </xf>
    <xf numFmtId="165" fontId="7" fillId="0" borderId="0" xfId="0" applyNumberFormat="1" applyFont="1" applyFill="1" applyAlignment="1" applyProtection="1">
      <alignment horizontal="center"/>
      <protection hidden="1"/>
    </xf>
    <xf numFmtId="0" fontId="7" fillId="0" borderId="2" xfId="0" applyFont="1" applyFill="1" applyBorder="1" applyAlignment="1" applyProtection="1">
      <alignment horizontal="center"/>
      <protection hidden="1"/>
    </xf>
    <xf numFmtId="0" fontId="7" fillId="0" borderId="2" xfId="0" applyFont="1" applyFill="1" applyBorder="1" applyProtection="1">
      <protection hidden="1"/>
    </xf>
    <xf numFmtId="166" fontId="7" fillId="0" borderId="0" xfId="0" applyNumberFormat="1" applyFont="1" applyFill="1" applyAlignment="1" applyProtection="1">
      <alignment horizontal="center"/>
      <protection hidden="1"/>
    </xf>
    <xf numFmtId="167" fontId="7" fillId="0" borderId="0" xfId="0" applyNumberFormat="1" applyFont="1" applyFill="1" applyAlignment="1" applyProtection="1">
      <alignment horizontal="left"/>
      <protection hidden="1"/>
    </xf>
    <xf numFmtId="0" fontId="6" fillId="0" borderId="3" xfId="0" applyFont="1" applyFill="1" applyBorder="1" applyProtection="1">
      <protection hidden="1"/>
    </xf>
    <xf numFmtId="0" fontId="7" fillId="0" borderId="3" xfId="0" applyFont="1" applyFill="1" applyBorder="1" applyAlignment="1" applyProtection="1">
      <alignment horizontal="center"/>
      <protection hidden="1"/>
    </xf>
    <xf numFmtId="0" fontId="7" fillId="0" borderId="3" xfId="0" applyFont="1" applyFill="1" applyBorder="1" applyProtection="1">
      <protection hidden="1"/>
    </xf>
    <xf numFmtId="0" fontId="7" fillId="0" borderId="1" xfId="0" applyFont="1" applyFill="1" applyBorder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165" fontId="7" fillId="0" borderId="0" xfId="0" applyNumberFormat="1" applyFont="1" applyFill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Fill="1" applyProtection="1">
      <protection hidden="1"/>
    </xf>
    <xf numFmtId="0" fontId="8" fillId="0" borderId="0" xfId="0" applyFont="1" applyFill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Protection="1">
      <protection hidden="1"/>
    </xf>
    <xf numFmtId="168" fontId="8" fillId="0" borderId="0" xfId="0" applyNumberFormat="1" applyFont="1" applyFill="1" applyAlignment="1" applyProtection="1">
      <alignment horizontal="center"/>
      <protection hidden="1"/>
    </xf>
    <xf numFmtId="168" fontId="6" fillId="0" borderId="0" xfId="0" applyNumberFormat="1" applyFont="1" applyFill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left"/>
      <protection hidden="1"/>
    </xf>
    <xf numFmtId="168" fontId="7" fillId="0" borderId="0" xfId="0" applyNumberFormat="1" applyFont="1" applyFill="1" applyAlignment="1" applyProtection="1">
      <alignment horizontal="center"/>
      <protection hidden="1"/>
    </xf>
    <xf numFmtId="166" fontId="7" fillId="0" borderId="0" xfId="0" applyNumberFormat="1" applyFont="1" applyFill="1" applyProtection="1">
      <protection hidden="1"/>
    </xf>
    <xf numFmtId="167" fontId="7" fillId="0" borderId="0" xfId="0" applyNumberFormat="1" applyFont="1" applyFill="1" applyAlignment="1" applyProtection="1">
      <alignment horizontal="center"/>
      <protection hidden="1"/>
    </xf>
    <xf numFmtId="0" fontId="9" fillId="0" borderId="0" xfId="0" applyFont="1"/>
    <xf numFmtId="0" fontId="10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11" fillId="0" borderId="0" xfId="0" applyFont="1" applyAlignment="1">
      <alignment vertical="center"/>
    </xf>
    <xf numFmtId="168" fontId="7" fillId="0" borderId="0" xfId="0" applyNumberFormat="1" applyFont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14" fontId="0" fillId="0" borderId="0" xfId="0" applyNumberFormat="1"/>
    <xf numFmtId="0" fontId="6" fillId="0" borderId="1" xfId="0" applyFont="1" applyFill="1" applyBorder="1" applyAlignment="1" applyProtection="1">
      <alignment horizontal="center" wrapText="1"/>
      <protection hidden="1"/>
    </xf>
    <xf numFmtId="49" fontId="7" fillId="0" borderId="0" xfId="0" applyNumberFormat="1" applyFont="1" applyFill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 wrapText="1"/>
      <protection hidden="1"/>
    </xf>
    <xf numFmtId="0" fontId="6" fillId="0" borderId="1" xfId="0" applyFont="1" applyFill="1" applyBorder="1" applyAlignment="1" applyProtection="1">
      <alignment horizontal="left" wrapText="1"/>
      <protection hidden="1"/>
    </xf>
    <xf numFmtId="165" fontId="8" fillId="0" borderId="0" xfId="0" applyNumberFormat="1" applyFont="1" applyFill="1" applyProtection="1">
      <protection hidden="1"/>
    </xf>
    <xf numFmtId="165" fontId="7" fillId="0" borderId="0" xfId="0" applyNumberFormat="1" applyFont="1" applyProtection="1">
      <protection hidden="1"/>
    </xf>
    <xf numFmtId="0" fontId="7" fillId="2" borderId="0" xfId="0" applyFont="1" applyFill="1" applyProtection="1">
      <protection hidden="1"/>
    </xf>
    <xf numFmtId="0" fontId="6" fillId="2" borderId="1" xfId="0" applyFont="1" applyFill="1" applyBorder="1" applyAlignment="1" applyProtection="1">
      <alignment horizontal="center" wrapText="1"/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165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0" xfId="0" applyFont="1" applyFill="1" applyBorder="1" applyProtection="1">
      <protection hidden="1"/>
    </xf>
    <xf numFmtId="165" fontId="7" fillId="2" borderId="0" xfId="0" applyNumberFormat="1" applyFont="1" applyFill="1" applyProtection="1">
      <protection hidden="1"/>
    </xf>
    <xf numFmtId="0" fontId="7" fillId="2" borderId="2" xfId="0" applyFont="1" applyFill="1" applyBorder="1" applyProtection="1">
      <protection hidden="1"/>
    </xf>
    <xf numFmtId="165" fontId="7" fillId="2" borderId="2" xfId="0" applyNumberFormat="1" applyFont="1" applyFill="1" applyBorder="1" applyProtection="1">
      <protection hidden="1"/>
    </xf>
    <xf numFmtId="0" fontId="0" fillId="2" borderId="0" xfId="0" applyFill="1"/>
    <xf numFmtId="165" fontId="7" fillId="2" borderId="0" xfId="0" applyNumberFormat="1" applyFont="1" applyFill="1" applyAlignment="1" applyProtection="1">
      <alignment horizontal="left"/>
      <protection hidden="1"/>
    </xf>
    <xf numFmtId="169" fontId="7" fillId="2" borderId="0" xfId="0" applyNumberFormat="1" applyFont="1" applyFill="1" applyProtection="1">
      <protection hidden="1"/>
    </xf>
    <xf numFmtId="0" fontId="8" fillId="2" borderId="0" xfId="0" applyFont="1" applyFill="1" applyProtection="1">
      <protection hidden="1"/>
    </xf>
    <xf numFmtId="165" fontId="8" fillId="2" borderId="0" xfId="0" applyNumberFormat="1" applyFont="1" applyFill="1" applyProtection="1">
      <protection hidden="1"/>
    </xf>
    <xf numFmtId="168" fontId="7" fillId="2" borderId="0" xfId="0" applyNumberFormat="1" applyFont="1" applyFill="1" applyProtection="1">
      <protection hidden="1"/>
    </xf>
    <xf numFmtId="165" fontId="7" fillId="2" borderId="0" xfId="0" applyNumberFormat="1" applyFont="1" applyFill="1" applyAlignment="1" applyProtection="1">
      <alignment horizontal="center"/>
      <protection hidden="1"/>
    </xf>
    <xf numFmtId="168" fontId="7" fillId="2" borderId="0" xfId="0" applyNumberFormat="1" applyFont="1" applyFill="1" applyAlignment="1" applyProtection="1">
      <alignment horizontal="center"/>
      <protection hidden="1"/>
    </xf>
    <xf numFmtId="165" fontId="7" fillId="2" borderId="0" xfId="0" quotePrefix="1" applyNumberFormat="1" applyFont="1" applyFill="1" applyProtection="1">
      <protection hidden="1"/>
    </xf>
    <xf numFmtId="165" fontId="7" fillId="2" borderId="0" xfId="0" quotePrefix="1" applyNumberFormat="1" applyFont="1" applyFill="1" applyAlignment="1" applyProtection="1">
      <alignment horizontal="left"/>
      <protection hidden="1"/>
    </xf>
    <xf numFmtId="0" fontId="13" fillId="2" borderId="0" xfId="0" applyFont="1" applyFill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6" fillId="0" borderId="1" xfId="0" applyFont="1" applyFill="1" applyBorder="1" applyProtection="1">
      <protection hidden="1"/>
    </xf>
    <xf numFmtId="0" fontId="6" fillId="0" borderId="0" xfId="0" applyFont="1" applyFill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9" fontId="7" fillId="2" borderId="0" xfId="0" applyNumberFormat="1" applyFont="1" applyFill="1" applyProtection="1">
      <protection hidden="1"/>
    </xf>
    <xf numFmtId="170" fontId="7" fillId="2" borderId="0" xfId="0" applyNumberFormat="1" applyFont="1" applyFill="1" applyProtection="1">
      <protection hidden="1"/>
    </xf>
    <xf numFmtId="0" fontId="0" fillId="0" borderId="0" xfId="0" applyAlignment="1">
      <alignment horizontal="left" indent="1"/>
    </xf>
    <xf numFmtId="165" fontId="7" fillId="0" borderId="0" xfId="0" applyNumberFormat="1" applyFont="1" applyFill="1" applyBorder="1" applyProtection="1">
      <protection hidden="1"/>
    </xf>
    <xf numFmtId="165" fontId="7" fillId="0" borderId="0" xfId="0" applyNumberFormat="1" applyFont="1" applyBorder="1" applyAlignment="1" applyProtection="1">
      <alignment horizontal="center"/>
      <protection hidden="1"/>
    </xf>
    <xf numFmtId="165" fontId="14" fillId="0" borderId="2" xfId="0" applyNumberFormat="1" applyFont="1" applyBorder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7" fillId="2" borderId="0" xfId="0" applyNumberFormat="1" applyFont="1" applyFill="1" applyAlignment="1" applyProtection="1">
      <alignment horizontal="center"/>
      <protection hidden="1"/>
    </xf>
    <xf numFmtId="170" fontId="7" fillId="2" borderId="0" xfId="0" applyNumberFormat="1" applyFont="1" applyFill="1" applyAlignment="1" applyProtection="1">
      <alignment horizontal="left"/>
      <protection hidden="1"/>
    </xf>
    <xf numFmtId="10" fontId="7" fillId="2" borderId="0" xfId="0" applyNumberFormat="1" applyFont="1" applyFill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6" fillId="0" borderId="0" xfId="0" applyFont="1" applyFill="1" applyBorder="1" applyProtection="1">
      <protection hidden="1"/>
    </xf>
    <xf numFmtId="0" fontId="7" fillId="3" borderId="0" xfId="0" applyFont="1" applyFill="1" applyProtection="1">
      <protection hidden="1"/>
    </xf>
    <xf numFmtId="0" fontId="6" fillId="3" borderId="1" xfId="0" applyFont="1" applyFill="1" applyBorder="1" applyAlignment="1" applyProtection="1">
      <alignment horizontal="center" wrapText="1"/>
      <protection hidden="1"/>
    </xf>
    <xf numFmtId="0" fontId="6" fillId="3" borderId="1" xfId="0" applyFont="1" applyFill="1" applyBorder="1" applyAlignment="1" applyProtection="1">
      <alignment horizontal="left"/>
      <protection hidden="1"/>
    </xf>
    <xf numFmtId="165" fontId="6" fillId="3" borderId="1" xfId="0" applyNumberFormat="1" applyFont="1" applyFill="1" applyBorder="1" applyAlignment="1" applyProtection="1">
      <alignment horizontal="center"/>
      <protection hidden="1"/>
    </xf>
    <xf numFmtId="165" fontId="7" fillId="3" borderId="0" xfId="0" applyNumberFormat="1" applyFont="1" applyFill="1" applyProtection="1">
      <protection hidden="1"/>
    </xf>
    <xf numFmtId="0" fontId="7" fillId="3" borderId="0" xfId="0" applyFont="1" applyFill="1" applyBorder="1" applyProtection="1">
      <protection hidden="1"/>
    </xf>
    <xf numFmtId="0" fontId="16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6" fillId="3" borderId="0" xfId="0" applyFont="1" applyFill="1" applyProtection="1">
      <protection hidden="1"/>
    </xf>
    <xf numFmtId="49" fontId="7" fillId="3" borderId="0" xfId="0" applyNumberFormat="1" applyFont="1" applyFill="1" applyAlignment="1" applyProtection="1">
      <alignment horizontal="center"/>
      <protection hidden="1"/>
    </xf>
    <xf numFmtId="0" fontId="11" fillId="2" borderId="0" xfId="0" applyFont="1" applyFill="1" applyAlignment="1">
      <alignment vertical="center"/>
    </xf>
    <xf numFmtId="0" fontId="13" fillId="3" borderId="0" xfId="0" applyFont="1" applyFill="1" applyProtection="1">
      <protection hidden="1"/>
    </xf>
    <xf numFmtId="168" fontId="7" fillId="2" borderId="0" xfId="0" applyNumberFormat="1" applyFont="1" applyFill="1" applyAlignment="1" applyProtection="1">
      <alignment horizontal="left"/>
      <protection hidden="1"/>
    </xf>
    <xf numFmtId="0" fontId="13" fillId="4" borderId="0" xfId="0" applyFont="1" applyFill="1" applyProtection="1">
      <protection hidden="1"/>
    </xf>
    <xf numFmtId="0" fontId="7" fillId="4" borderId="0" xfId="0" applyFont="1" applyFill="1" applyProtection="1">
      <protection hidden="1"/>
    </xf>
    <xf numFmtId="168" fontId="7" fillId="4" borderId="0" xfId="0" applyNumberFormat="1" applyFont="1" applyFill="1" applyProtection="1">
      <protection hidden="1"/>
    </xf>
    <xf numFmtId="165" fontId="7" fillId="4" borderId="0" xfId="0" applyNumberFormat="1" applyFont="1" applyFill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10" fontId="7" fillId="2" borderId="2" xfId="7" applyNumberFormat="1" applyFont="1" applyFill="1" applyBorder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left"/>
      <protection hidden="1"/>
    </xf>
    <xf numFmtId="10" fontId="7" fillId="3" borderId="0" xfId="0" applyNumberFormat="1" applyFont="1" applyFill="1" applyAlignment="1" applyProtection="1">
      <alignment horizontal="left"/>
      <protection hidden="1"/>
    </xf>
    <xf numFmtId="0" fontId="7" fillId="3" borderId="0" xfId="0" applyFont="1" applyFill="1" applyAlignment="1" applyProtection="1">
      <alignment horizontal="left"/>
      <protection hidden="1"/>
    </xf>
    <xf numFmtId="0" fontId="7" fillId="3" borderId="0" xfId="0" applyNumberFormat="1" applyFont="1" applyFill="1" applyAlignment="1" applyProtection="1">
      <alignment horizontal="center"/>
      <protection hidden="1"/>
    </xf>
    <xf numFmtId="0" fontId="7" fillId="3" borderId="2" xfId="0" applyFont="1" applyFill="1" applyBorder="1" applyProtection="1">
      <protection hidden="1"/>
    </xf>
    <xf numFmtId="165" fontId="7" fillId="3" borderId="2" xfId="0" applyNumberFormat="1" applyFont="1" applyFill="1" applyBorder="1" applyProtection="1">
      <protection hidden="1"/>
    </xf>
    <xf numFmtId="0" fontId="0" fillId="3" borderId="0" xfId="0" applyFill="1"/>
    <xf numFmtId="165" fontId="7" fillId="3" borderId="0" xfId="0" applyNumberFormat="1" applyFont="1" applyFill="1" applyAlignment="1" applyProtection="1">
      <alignment horizontal="left"/>
      <protection hidden="1"/>
    </xf>
    <xf numFmtId="168" fontId="7" fillId="3" borderId="0" xfId="0" applyNumberFormat="1" applyFont="1" applyFill="1" applyAlignment="1" applyProtection="1">
      <alignment horizontal="left"/>
      <protection hidden="1"/>
    </xf>
    <xf numFmtId="165" fontId="8" fillId="3" borderId="0" xfId="0" applyNumberFormat="1" applyFont="1" applyFill="1" applyProtection="1">
      <protection hidden="1"/>
    </xf>
    <xf numFmtId="165" fontId="7" fillId="3" borderId="0" xfId="0" quotePrefix="1" applyNumberFormat="1" applyFont="1" applyFill="1" applyProtection="1">
      <protection hidden="1"/>
    </xf>
    <xf numFmtId="165" fontId="7" fillId="3" borderId="0" xfId="0" applyNumberFormat="1" applyFont="1" applyFill="1" applyAlignment="1" applyProtection="1">
      <alignment horizontal="center"/>
      <protection hidden="1"/>
    </xf>
    <xf numFmtId="165" fontId="7" fillId="3" borderId="0" xfId="0" quotePrefix="1" applyNumberFormat="1" applyFont="1" applyFill="1" applyAlignment="1" applyProtection="1">
      <alignment horizontal="left"/>
      <protection hidden="1"/>
    </xf>
    <xf numFmtId="168" fontId="7" fillId="3" borderId="0" xfId="0" applyNumberFormat="1" applyFont="1" applyFill="1" applyAlignment="1" applyProtection="1">
      <alignment horizontal="center"/>
      <protection hidden="1"/>
    </xf>
    <xf numFmtId="0" fontId="6" fillId="2" borderId="0" xfId="0" applyFont="1" applyFill="1" applyProtection="1">
      <protection hidden="1"/>
    </xf>
    <xf numFmtId="49" fontId="7" fillId="2" borderId="0" xfId="0" applyNumberFormat="1" applyFont="1" applyFill="1" applyAlignment="1" applyProtection="1">
      <alignment horizontal="center"/>
      <protection hidden="1"/>
    </xf>
    <xf numFmtId="0" fontId="6" fillId="3" borderId="1" xfId="0" applyFont="1" applyFill="1" applyBorder="1" applyAlignment="1" applyProtection="1">
      <alignment horizontal="left" wrapText="1"/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15" fillId="0" borderId="0" xfId="0" applyFont="1" applyFill="1" applyProtection="1">
      <protection hidden="1"/>
    </xf>
  </cellXfs>
  <cellStyles count="8">
    <cellStyle name="Normal" xfId="0" builtinId="0"/>
    <cellStyle name="Normal 2" xfId="1" xr:uid="{00000000-0005-0000-0000-000001000000}"/>
    <cellStyle name="Percent" xfId="7" builtinId="5"/>
    <cellStyle name="PSChar" xfId="2" xr:uid="{00000000-0005-0000-0000-000002000000}"/>
    <cellStyle name="PSDate" xfId="3" xr:uid="{00000000-0005-0000-0000-000003000000}"/>
    <cellStyle name="PSDec" xfId="4" xr:uid="{00000000-0005-0000-0000-000004000000}"/>
    <cellStyle name="PSHeading" xfId="5" xr:uid="{00000000-0005-0000-0000-000005000000}"/>
    <cellStyle name="PSInt" xfId="6" xr:uid="{00000000-0005-0000-0000-000006000000}"/>
  </cellStyles>
  <dxfs count="0"/>
  <tableStyles count="1" defaultTableStyle="TableStyleMedium2" defaultPivotStyle="PivotStyleLight16">
    <tableStyle name="Invisible" pivot="0" table="0" count="0" xr9:uid="{2A8209CE-4DB9-4BD1-A7E5-C8D3C6CF2839}"/>
  </tableStyles>
  <colors>
    <mruColors>
      <color rgb="FFFFD5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628650</xdr:colOff>
      <xdr:row>1</xdr:row>
      <xdr:rowOff>66674</xdr:rowOff>
    </xdr:from>
    <xdr:to>
      <xdr:col>21</xdr:col>
      <xdr:colOff>400050</xdr:colOff>
      <xdr:row>5</xdr:row>
      <xdr:rowOff>152399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899DFC-9053-4217-B005-F921F59888A0}"/>
            </a:ext>
          </a:extLst>
        </xdr:cNvPr>
        <xdr:cNvSpPr txBox="1"/>
      </xdr:nvSpPr>
      <xdr:spPr>
        <a:xfrm>
          <a:off x="11972925" y="266699"/>
          <a:ext cx="2171700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 named range for columns S-AA</a:t>
          </a:r>
          <a:r>
            <a:rPr lang="en-US" sz="1100" baseline="0"/>
            <a:t> is Rates2020 but really should have been Rates2019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266700</xdr:colOff>
      <xdr:row>0</xdr:row>
      <xdr:rowOff>0</xdr:rowOff>
    </xdr:from>
    <xdr:to>
      <xdr:col>21</xdr:col>
      <xdr:colOff>38100</xdr:colOff>
      <xdr:row>5</xdr:row>
      <xdr:rowOff>200025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7B8B54-4EE5-451F-AE55-585087E431FD}"/>
            </a:ext>
          </a:extLst>
        </xdr:cNvPr>
        <xdr:cNvSpPr txBox="1"/>
      </xdr:nvSpPr>
      <xdr:spPr>
        <a:xfrm>
          <a:off x="11610975" y="0"/>
          <a:ext cx="21717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 named range for columns S-AA</a:t>
          </a:r>
          <a:r>
            <a:rPr lang="en-US" sz="1100" baseline="0"/>
            <a:t> are named  Rates 2020v1 because the rates name on the 7-2-19 tab really should have been Rates2019 rather than Rates2020.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showGridLines="0" workbookViewId="0">
      <selection activeCell="A9" sqref="A9:XFD9"/>
    </sheetView>
  </sheetViews>
  <sheetFormatPr defaultColWidth="9.1328125" defaultRowHeight="15.75"/>
  <cols>
    <col min="1" max="1" width="7.265625" style="29" customWidth="1"/>
    <col min="2" max="2" width="7.265625" style="29" bestFit="1" customWidth="1"/>
    <col min="3" max="3" width="5.86328125" style="29" customWidth="1"/>
    <col min="4" max="4" width="18.59765625" style="29" bestFit="1" customWidth="1"/>
    <col min="5" max="5" width="4.3984375" style="29" bestFit="1" customWidth="1"/>
    <col min="6" max="6" width="2.265625" style="29" bestFit="1" customWidth="1"/>
    <col min="7" max="7" width="11.3984375" style="29" customWidth="1"/>
    <col min="8" max="14" width="9.265625" style="29" bestFit="1" customWidth="1"/>
    <col min="15" max="16384" width="9.1328125" style="29"/>
  </cols>
  <sheetData>
    <row r="1" spans="1:21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"/>
    </row>
    <row r="2" spans="1:21" s="2" customFormat="1" ht="8.25" customHeight="1">
      <c r="C2" s="3"/>
      <c r="D2" s="4"/>
      <c r="F2" s="4"/>
      <c r="G2" s="4"/>
      <c r="H2" s="5"/>
      <c r="I2" s="4" t="s">
        <v>1</v>
      </c>
      <c r="J2" s="4"/>
      <c r="K2" s="4"/>
      <c r="L2" s="4" t="s">
        <v>1</v>
      </c>
      <c r="M2" s="4"/>
      <c r="N2" s="4"/>
      <c r="O2" s="1"/>
    </row>
    <row r="3" spans="1:21" s="2" customFormat="1">
      <c r="A3" s="6" t="s">
        <v>36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"/>
    </row>
    <row r="4" spans="1:21" s="2" customFormat="1">
      <c r="A4" s="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21" s="2" customFormat="1" ht="6.75" customHeight="1">
      <c r="A5" s="8"/>
      <c r="B5" s="3"/>
      <c r="C5" s="4"/>
      <c r="D5" s="8"/>
      <c r="E5" s="8"/>
      <c r="F5" s="9"/>
      <c r="G5" s="9"/>
      <c r="H5" s="10"/>
      <c r="I5" s="9"/>
      <c r="J5" s="9"/>
      <c r="K5" s="9"/>
      <c r="L5" s="9"/>
      <c r="M5" s="9"/>
      <c r="N5" s="4"/>
      <c r="O5" s="7"/>
    </row>
    <row r="6" spans="1:21" s="2" customFormat="1">
      <c r="A6" s="8" t="s">
        <v>3</v>
      </c>
      <c r="B6" s="8"/>
      <c r="C6" s="4"/>
      <c r="D6" s="8"/>
      <c r="E6" s="9"/>
      <c r="F6" s="9"/>
      <c r="G6" s="9"/>
      <c r="H6" s="10" t="s">
        <v>4</v>
      </c>
      <c r="I6" s="9" t="s">
        <v>5</v>
      </c>
      <c r="J6" s="9" t="s">
        <v>6</v>
      </c>
      <c r="K6" s="9" t="s">
        <v>7</v>
      </c>
      <c r="L6" s="9" t="s">
        <v>8</v>
      </c>
      <c r="M6" s="9" t="s">
        <v>9</v>
      </c>
      <c r="N6" s="9" t="s">
        <v>10</v>
      </c>
      <c r="O6" s="7"/>
    </row>
    <row r="7" spans="1:21" s="2" customFormat="1">
      <c r="A7" s="11" t="s">
        <v>11</v>
      </c>
      <c r="B7" s="12" t="s">
        <v>12</v>
      </c>
      <c r="C7" s="12" t="s">
        <v>13</v>
      </c>
      <c r="D7" s="11" t="s">
        <v>14</v>
      </c>
      <c r="E7" s="12" t="s">
        <v>15</v>
      </c>
      <c r="F7" s="12" t="s">
        <v>16</v>
      </c>
      <c r="G7" s="12" t="s">
        <v>17</v>
      </c>
      <c r="H7" s="13" t="s">
        <v>18</v>
      </c>
      <c r="I7" s="13" t="s">
        <v>18</v>
      </c>
      <c r="J7" s="13" t="s">
        <v>18</v>
      </c>
      <c r="K7" s="13" t="s">
        <v>18</v>
      </c>
      <c r="L7" s="13" t="s">
        <v>18</v>
      </c>
      <c r="M7" s="13" t="s">
        <v>18</v>
      </c>
      <c r="N7" s="13" t="s">
        <v>18</v>
      </c>
      <c r="O7" s="7"/>
    </row>
    <row r="8" spans="1:21" s="2" customFormat="1">
      <c r="A8" s="3" t="s">
        <v>21</v>
      </c>
      <c r="B8" s="4" t="s">
        <v>19</v>
      </c>
      <c r="C8" s="4">
        <v>2</v>
      </c>
      <c r="D8" s="7" t="s">
        <v>22</v>
      </c>
      <c r="E8" s="4">
        <v>336</v>
      </c>
      <c r="F8" s="4">
        <v>7</v>
      </c>
      <c r="G8" s="4" t="s">
        <v>20</v>
      </c>
      <c r="H8" s="14">
        <v>23.062051402140924</v>
      </c>
      <c r="I8" s="14">
        <v>24.265490110531616</v>
      </c>
      <c r="J8" s="14">
        <v>25.538357975175625</v>
      </c>
      <c r="K8" s="14">
        <v>26.880654996072934</v>
      </c>
      <c r="L8" s="14">
        <v>28.303952699265771</v>
      </c>
      <c r="M8" s="14">
        <v>29.796679558711929</v>
      </c>
      <c r="N8" s="14">
        <v>31.35883557441139</v>
      </c>
      <c r="O8" s="7"/>
    </row>
    <row r="9" spans="1:21" s="7" customFormat="1" hidden="1">
      <c r="A9" s="1" t="s">
        <v>113</v>
      </c>
      <c r="B9" s="1" t="s">
        <v>19</v>
      </c>
      <c r="C9" s="1">
        <v>2</v>
      </c>
      <c r="D9" s="7" t="s">
        <v>112</v>
      </c>
      <c r="E9" s="1">
        <v>288</v>
      </c>
      <c r="F9" s="1">
        <v>6</v>
      </c>
      <c r="G9" s="1" t="s">
        <v>20</v>
      </c>
      <c r="H9" s="79">
        <v>21.488323860399248</v>
      </c>
      <c r="I9" s="79">
        <v>22.622333412536634</v>
      </c>
      <c r="J9" s="79">
        <v>23.814200594885104</v>
      </c>
      <c r="K9" s="79">
        <v>25.063925407444675</v>
      </c>
      <c r="L9" s="79">
        <v>26.383079376257552</v>
      </c>
      <c r="M9" s="79">
        <v>27.771662501323732</v>
      </c>
      <c r="N9" s="79">
        <v>29.229674782643237</v>
      </c>
    </row>
    <row r="10" spans="1:21" s="7" customFormat="1" ht="16.149999999999999" thickBot="1">
      <c r="A10" s="15"/>
      <c r="B10" s="15"/>
      <c r="C10" s="15"/>
      <c r="D10" s="16"/>
      <c r="E10" s="15"/>
      <c r="F10" s="15"/>
      <c r="G10" s="15"/>
      <c r="H10" s="80"/>
      <c r="I10" s="80"/>
      <c r="J10" s="80"/>
      <c r="K10" s="80"/>
      <c r="L10" s="80"/>
      <c r="M10" s="80"/>
      <c r="N10" s="80"/>
      <c r="O10" s="16"/>
    </row>
    <row r="11" spans="1:21" s="2" customFormat="1">
      <c r="A11" s="33" t="s">
        <v>56</v>
      </c>
      <c r="B11" s="4"/>
      <c r="C11" s="4"/>
      <c r="E11" s="4"/>
      <c r="F11" s="4"/>
      <c r="G11" s="4"/>
      <c r="H11" s="4"/>
      <c r="I11" s="4"/>
      <c r="J11" s="4"/>
      <c r="K11" s="4"/>
      <c r="O11" s="7"/>
    </row>
    <row r="12" spans="1:21" s="2" customFormat="1">
      <c r="A12" s="2" t="s">
        <v>50</v>
      </c>
      <c r="B12" s="4"/>
      <c r="C12" s="4"/>
      <c r="E12" s="4"/>
      <c r="F12" s="4"/>
      <c r="G12" s="17"/>
      <c r="H12" s="14">
        <v>0.46200000000000002</v>
      </c>
      <c r="I12" s="3" t="s">
        <v>51</v>
      </c>
      <c r="K12" s="3"/>
      <c r="L12" s="3"/>
      <c r="M12" s="3"/>
      <c r="O12" s="7"/>
      <c r="Q12" s="35"/>
      <c r="U12" s="18"/>
    </row>
    <row r="13" spans="1:21" s="2" customFormat="1">
      <c r="A13" s="2" t="s">
        <v>53</v>
      </c>
      <c r="O13" s="7"/>
    </row>
    <row r="14" spans="1:21" s="2" customFormat="1" ht="7.5" customHeight="1">
      <c r="O14" s="7"/>
    </row>
    <row r="15" spans="1:21" s="2" customFormat="1">
      <c r="A15" s="2" t="s">
        <v>50</v>
      </c>
      <c r="H15" s="14">
        <v>1.0970260473357865</v>
      </c>
      <c r="I15" s="2" t="s">
        <v>23</v>
      </c>
      <c r="O15" s="7"/>
    </row>
    <row r="16" spans="1:21" s="2" customFormat="1">
      <c r="A16" s="2" t="s">
        <v>52</v>
      </c>
      <c r="B16" s="4"/>
      <c r="C16" s="4"/>
      <c r="E16" s="4"/>
      <c r="F16" s="4"/>
      <c r="G16" s="4"/>
      <c r="H16" s="4"/>
      <c r="I16" s="4"/>
      <c r="J16" s="4"/>
      <c r="K16" s="4"/>
      <c r="O16" s="7"/>
    </row>
    <row r="17" spans="1:15" s="2" customFormat="1" ht="8.25" customHeight="1">
      <c r="B17" s="4"/>
      <c r="C17" s="4"/>
      <c r="E17" s="4"/>
      <c r="F17" s="4"/>
      <c r="G17" s="4"/>
      <c r="H17" s="4"/>
      <c r="I17" s="4"/>
      <c r="J17" s="4"/>
      <c r="K17" s="4"/>
      <c r="O17" s="7"/>
    </row>
    <row r="18" spans="1:15" s="2" customFormat="1">
      <c r="A18" s="2" t="s">
        <v>24</v>
      </c>
      <c r="O18" s="7"/>
    </row>
    <row r="19" spans="1:15" s="2" customFormat="1">
      <c r="A19" s="2" t="s">
        <v>25</v>
      </c>
      <c r="O19" s="7"/>
    </row>
    <row r="20" spans="1:15" s="2" customFormat="1">
      <c r="A20" s="2" t="s">
        <v>26</v>
      </c>
      <c r="O20" s="7"/>
    </row>
    <row r="21" spans="1:15" s="2" customFormat="1">
      <c r="A21" s="7" t="s">
        <v>27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s="2" customFormat="1" ht="6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s="2" customFormat="1">
      <c r="A23" s="7" t="s">
        <v>59</v>
      </c>
      <c r="B23" s="1"/>
      <c r="C23" s="1"/>
      <c r="D23" s="7"/>
      <c r="E23" s="1"/>
      <c r="F23" s="1"/>
      <c r="G23" s="1"/>
      <c r="H23" s="1"/>
      <c r="I23" s="1"/>
      <c r="J23" s="1"/>
      <c r="K23" s="1"/>
      <c r="L23" s="7"/>
      <c r="M23" s="7"/>
      <c r="N23" s="7"/>
      <c r="O23" s="7"/>
    </row>
    <row r="24" spans="1:15" s="2" customFormat="1" ht="6.75" customHeight="1">
      <c r="B24" s="1"/>
      <c r="C24" s="1"/>
      <c r="D24" s="7"/>
      <c r="E24" s="1"/>
      <c r="F24" s="1"/>
      <c r="G24" s="1"/>
      <c r="H24" s="1"/>
      <c r="I24" s="1"/>
      <c r="J24" s="1"/>
      <c r="K24" s="1"/>
      <c r="L24" s="7"/>
      <c r="M24" s="7"/>
      <c r="N24" s="7"/>
      <c r="O24" s="7"/>
    </row>
    <row r="25" spans="1:15" s="2" customFormat="1">
      <c r="A25" s="7" t="s">
        <v>54</v>
      </c>
      <c r="B25" s="1"/>
      <c r="C25" s="1"/>
      <c r="D25" s="7"/>
      <c r="E25" s="1"/>
      <c r="F25" s="1"/>
      <c r="G25" s="1"/>
      <c r="H25" s="1"/>
      <c r="I25" s="1"/>
      <c r="J25" s="1"/>
      <c r="K25" s="1"/>
      <c r="L25" s="7"/>
      <c r="M25" s="7"/>
      <c r="N25" s="7"/>
      <c r="O25" s="7"/>
    </row>
    <row r="26" spans="1:15" s="2" customFormat="1">
      <c r="A26" s="7"/>
      <c r="B26" s="1"/>
      <c r="C26" s="1"/>
      <c r="D26" s="7"/>
      <c r="E26" s="1"/>
      <c r="F26" s="1"/>
      <c r="G26" s="1"/>
      <c r="H26" s="1"/>
      <c r="I26" s="1"/>
      <c r="J26" s="1"/>
      <c r="K26" s="1"/>
      <c r="L26" s="7"/>
      <c r="M26" s="7"/>
      <c r="N26" s="7"/>
      <c r="O26" s="7"/>
    </row>
    <row r="27" spans="1:15" s="2" customFormat="1">
      <c r="A27" s="19" t="s">
        <v>34</v>
      </c>
      <c r="B27" s="20"/>
      <c r="C27" s="20"/>
      <c r="D27" s="21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7"/>
    </row>
    <row r="28" spans="1:15" s="2" customFormat="1">
      <c r="A28" s="7" t="s">
        <v>40</v>
      </c>
      <c r="B28" s="1"/>
      <c r="C28" s="1"/>
      <c r="D28" s="7"/>
      <c r="E28" s="1"/>
      <c r="F28" s="1"/>
      <c r="G28" s="1"/>
      <c r="H28" s="1"/>
      <c r="I28" s="1"/>
      <c r="J28" s="1"/>
      <c r="K28" s="1"/>
      <c r="L28" s="7"/>
      <c r="M28" s="7"/>
      <c r="N28" s="7"/>
      <c r="O28" s="7"/>
    </row>
    <row r="29" spans="1:15" s="2" customFormat="1">
      <c r="A29" s="7" t="s">
        <v>41</v>
      </c>
      <c r="B29" s="1"/>
      <c r="C29" s="1"/>
      <c r="D29" s="7"/>
      <c r="E29" s="1"/>
      <c r="F29" s="1"/>
      <c r="G29" s="1"/>
      <c r="H29" s="1"/>
      <c r="I29" s="1"/>
      <c r="J29" s="1"/>
      <c r="K29" s="1"/>
      <c r="L29" s="7"/>
      <c r="M29" s="7"/>
      <c r="N29" s="7"/>
      <c r="O29" s="7"/>
    </row>
    <row r="30" spans="1:15" s="2" customFormat="1">
      <c r="A30" s="22"/>
      <c r="B30" s="23"/>
      <c r="C30" s="23"/>
      <c r="D30" s="22"/>
      <c r="E30" s="23"/>
      <c r="F30" s="23"/>
      <c r="G30" s="23"/>
      <c r="H30" s="23"/>
      <c r="I30" s="23"/>
      <c r="J30" s="23"/>
      <c r="K30" s="23"/>
      <c r="L30" s="22"/>
      <c r="M30" s="22"/>
      <c r="N30" s="22"/>
      <c r="O30" s="7"/>
    </row>
    <row r="31" spans="1:15" s="2" customFormat="1">
      <c r="A31" s="6" t="s">
        <v>28</v>
      </c>
      <c r="I31" s="4"/>
      <c r="J31" s="4"/>
      <c r="K31" s="4"/>
      <c r="O31" s="7"/>
    </row>
    <row r="32" spans="1:15" s="2" customFormat="1">
      <c r="A32" s="2" t="s">
        <v>29</v>
      </c>
      <c r="I32" s="4"/>
      <c r="J32" s="4"/>
      <c r="K32" s="4"/>
      <c r="O32" s="7"/>
    </row>
    <row r="33" spans="1:15" s="2" customFormat="1">
      <c r="B33" s="24">
        <v>0.38366568749187502</v>
      </c>
      <c r="C33" s="2" t="s">
        <v>30</v>
      </c>
      <c r="I33" s="4"/>
      <c r="J33" s="4"/>
      <c r="K33" s="4"/>
      <c r="O33" s="7"/>
    </row>
    <row r="34" spans="1:15" s="2" customFormat="1">
      <c r="B34" s="24">
        <v>0.49488758332249999</v>
      </c>
      <c r="C34" s="2" t="s">
        <v>31</v>
      </c>
      <c r="I34" s="4"/>
      <c r="J34" s="4"/>
      <c r="K34" s="4"/>
      <c r="O34" s="7"/>
    </row>
    <row r="35" spans="1:15" s="2" customFormat="1">
      <c r="B35" s="24">
        <v>0.60610947915312496</v>
      </c>
      <c r="C35" s="2" t="s">
        <v>32</v>
      </c>
      <c r="I35" s="4"/>
      <c r="J35" s="4"/>
      <c r="K35" s="4"/>
      <c r="O35" s="7"/>
    </row>
    <row r="36" spans="1:15" s="2" customFormat="1">
      <c r="B36" s="24">
        <v>0.71733137498374999</v>
      </c>
      <c r="C36" s="2" t="s">
        <v>33</v>
      </c>
      <c r="I36" s="4"/>
      <c r="J36" s="4"/>
      <c r="K36" s="4"/>
      <c r="O36" s="7"/>
    </row>
    <row r="37" spans="1:15" s="2" customFormat="1">
      <c r="A37" s="23"/>
      <c r="B37" s="23"/>
      <c r="C37" s="23"/>
      <c r="D37" s="22"/>
      <c r="E37" s="23"/>
      <c r="F37" s="23"/>
      <c r="G37" s="23"/>
      <c r="H37" s="23"/>
      <c r="I37" s="23"/>
      <c r="J37" s="23"/>
      <c r="K37" s="23"/>
      <c r="L37" s="22"/>
      <c r="M37" s="22"/>
      <c r="N37" s="23"/>
      <c r="O37" s="1"/>
    </row>
    <row r="38" spans="1:15" s="2" customFormat="1" ht="2.25" customHeight="1">
      <c r="A38" s="1"/>
      <c r="B38" s="1"/>
      <c r="C38" s="1"/>
      <c r="D38" s="7"/>
      <c r="E38" s="1"/>
      <c r="F38" s="1"/>
      <c r="G38" s="1"/>
      <c r="H38" s="1"/>
      <c r="I38" s="1"/>
      <c r="J38" s="1"/>
      <c r="K38" s="1"/>
      <c r="L38" s="7"/>
      <c r="M38" s="7"/>
      <c r="N38" s="1"/>
      <c r="O38" s="1"/>
    </row>
    <row r="39" spans="1:15" s="26" customFormat="1">
      <c r="A39" s="25" t="s">
        <v>35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8"/>
    </row>
    <row r="40" spans="1:15" s="2" customFormat="1">
      <c r="A40" s="38" t="s">
        <v>43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1"/>
    </row>
    <row r="41" spans="1:15" s="2" customFormat="1">
      <c r="A41" s="38" t="s">
        <v>44</v>
      </c>
      <c r="E41" s="4"/>
      <c r="F41" s="4"/>
      <c r="G41" s="34"/>
      <c r="H41" s="4"/>
      <c r="I41" s="4"/>
      <c r="J41" s="4"/>
      <c r="K41" s="4"/>
      <c r="L41" s="4"/>
      <c r="M41" s="4"/>
      <c r="N41" s="4"/>
      <c r="O41" s="1"/>
    </row>
    <row r="42" spans="1:15" s="2" customFormat="1">
      <c r="A42" s="38" t="s">
        <v>45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1"/>
    </row>
    <row r="43" spans="1:15" s="2" customFormat="1">
      <c r="A43" s="38" t="s">
        <v>46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1"/>
    </row>
    <row r="44" spans="1:15" s="2" customFormat="1">
      <c r="A44" s="38" t="s">
        <v>47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1"/>
    </row>
    <row r="45" spans="1:15" s="2" customFormat="1">
      <c r="A45" s="38" t="s">
        <v>48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1"/>
    </row>
    <row r="46" spans="1:15" s="2" customFormat="1">
      <c r="A46" s="38" t="s">
        <v>49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1"/>
    </row>
    <row r="47" spans="1:15">
      <c r="O47" s="30"/>
    </row>
    <row r="48" spans="1:15">
      <c r="A48" s="25" t="s">
        <v>64</v>
      </c>
      <c r="B48" s="2"/>
      <c r="C48" s="2"/>
      <c r="D48" s="2"/>
      <c r="E48" s="4"/>
      <c r="F48" s="4"/>
      <c r="G48" s="4"/>
      <c r="H48" s="4"/>
      <c r="I48" s="4"/>
      <c r="J48" s="4"/>
      <c r="K48" s="4"/>
      <c r="L48" s="4"/>
      <c r="M48" s="4"/>
      <c r="N48" s="4"/>
      <c r="O48" s="1"/>
    </row>
    <row r="49" spans="1:15">
      <c r="A49" s="40" t="s">
        <v>62</v>
      </c>
      <c r="B49" s="2"/>
      <c r="C49" s="2"/>
      <c r="D49" s="2"/>
      <c r="E49" s="4"/>
      <c r="F49" s="4"/>
      <c r="G49" s="4"/>
      <c r="H49" s="4"/>
      <c r="I49" s="4"/>
      <c r="J49" s="4"/>
      <c r="K49" s="4"/>
      <c r="L49" s="4"/>
      <c r="M49" s="4"/>
      <c r="N49" s="4"/>
      <c r="O49" s="1"/>
    </row>
    <row r="50" spans="1:15">
      <c r="A50" s="2" t="s">
        <v>63</v>
      </c>
      <c r="B50" s="2"/>
      <c r="C50" s="2"/>
      <c r="D50" s="2"/>
      <c r="E50" s="4"/>
      <c r="F50" s="4"/>
      <c r="G50" s="4"/>
      <c r="H50" s="4"/>
      <c r="I50" s="4"/>
      <c r="J50" s="4"/>
      <c r="K50" s="4"/>
      <c r="L50" s="4"/>
      <c r="M50" s="4"/>
      <c r="N50" s="4"/>
      <c r="O50" s="1"/>
    </row>
    <row r="51" spans="1:15">
      <c r="A51" s="2"/>
      <c r="B51" s="2"/>
      <c r="C51" s="2"/>
      <c r="D51" s="2"/>
      <c r="E51" s="39" t="s">
        <v>60</v>
      </c>
      <c r="F51" s="9"/>
      <c r="G51" s="2"/>
      <c r="H51" s="9"/>
      <c r="I51" s="9">
        <v>1</v>
      </c>
      <c r="J51" s="9">
        <v>2</v>
      </c>
      <c r="K51" s="9">
        <v>3</v>
      </c>
      <c r="L51" s="9">
        <v>4</v>
      </c>
      <c r="M51" s="9">
        <v>5</v>
      </c>
      <c r="N51" s="9">
        <v>6</v>
      </c>
      <c r="O51" s="42">
        <v>7</v>
      </c>
    </row>
    <row r="52" spans="1:15">
      <c r="G52" s="43" t="s">
        <v>61</v>
      </c>
      <c r="I52" s="41">
        <f>H8*1.5</f>
        <v>34.593077103211385</v>
      </c>
      <c r="J52" s="41">
        <f t="shared" ref="J52:O52" si="0">I8*1.5</f>
        <v>36.398235165797423</v>
      </c>
      <c r="K52" s="41">
        <f t="shared" si="0"/>
        <v>38.307536962763436</v>
      </c>
      <c r="L52" s="41">
        <f t="shared" si="0"/>
        <v>40.320982494109401</v>
      </c>
      <c r="M52" s="41">
        <f t="shared" si="0"/>
        <v>42.455929048898653</v>
      </c>
      <c r="N52" s="41">
        <f t="shared" si="0"/>
        <v>44.695019338067894</v>
      </c>
      <c r="O52" s="41">
        <f t="shared" si="0"/>
        <v>47.038253361617087</v>
      </c>
    </row>
  </sheetData>
  <mergeCells count="1">
    <mergeCell ref="A1:N1"/>
  </mergeCells>
  <pageMargins left="0.25" right="0.25" top="0.75" bottom="0.75" header="0.3" footer="0.3"/>
  <pageSetup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4CDE-686C-4522-B21B-5178F7B7DEE8}">
  <sheetPr>
    <pageSetUpPr fitToPage="1"/>
  </sheetPr>
  <dimension ref="A1:AK41"/>
  <sheetViews>
    <sheetView showGridLines="0" topLeftCell="D6" zoomScaleNormal="100" workbookViewId="0">
      <selection activeCell="U36" sqref="U36"/>
    </sheetView>
  </sheetViews>
  <sheetFormatPr defaultColWidth="9.1328125" defaultRowHeight="15.75"/>
  <cols>
    <col min="1" max="1" width="10.73046875" style="29" customWidth="1"/>
    <col min="2" max="2" width="6.73046875" style="29" customWidth="1"/>
    <col min="3" max="3" width="4.86328125" style="29" bestFit="1" customWidth="1"/>
    <col min="4" max="4" width="18.73046875" style="29" bestFit="1" customWidth="1"/>
    <col min="5" max="5" width="4.59765625" style="29" bestFit="1" customWidth="1"/>
    <col min="6" max="6" width="7" style="29" bestFit="1" customWidth="1"/>
    <col min="7" max="7" width="6.86328125" style="29" bestFit="1" customWidth="1"/>
    <col min="8" max="8" width="5.73046875" style="29" bestFit="1" customWidth="1"/>
    <col min="9" max="9" width="8.59765625" style="29" customWidth="1"/>
    <col min="10" max="15" width="8.59765625" style="29" bestFit="1" customWidth="1"/>
    <col min="16" max="16" width="8.3984375" style="29" bestFit="1" customWidth="1"/>
    <col min="17" max="17" width="9.1328125" style="29" hidden="1" customWidth="1"/>
    <col min="18" max="18" width="12.265625" style="51" bestFit="1" customWidth="1"/>
    <col min="19" max="19" width="15.73046875" style="51" bestFit="1" customWidth="1"/>
    <col min="20" max="20" width="27.59765625" style="51" bestFit="1" customWidth="1"/>
    <col min="21" max="22" width="8.3984375" style="57" bestFit="1" customWidth="1"/>
    <col min="23" max="23" width="23.73046875" style="57" bestFit="1" customWidth="1"/>
    <col min="24" max="27" width="8.3984375" style="57" bestFit="1" customWidth="1"/>
    <col min="28" max="28" width="15.73046875" style="87" bestFit="1" customWidth="1"/>
    <col min="29" max="29" width="30.59765625" style="87" bestFit="1" customWidth="1"/>
    <col min="30" max="30" width="7.265625" style="87" bestFit="1" customWidth="1"/>
    <col min="31" max="37" width="8.3984375" style="87" bestFit="1" customWidth="1"/>
    <col min="38" max="38" width="9.1328125" style="29" customWidth="1"/>
    <col min="39" max="16384" width="9.1328125" style="29"/>
  </cols>
  <sheetData>
    <row r="1" spans="1:3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51" t="s">
        <v>123</v>
      </c>
      <c r="S1" s="83">
        <v>1.0249999999999999</v>
      </c>
      <c r="T1" s="51"/>
      <c r="U1" s="57"/>
      <c r="V1" s="57"/>
      <c r="W1" s="57"/>
      <c r="X1" s="57"/>
      <c r="Y1" s="57"/>
      <c r="Z1" s="57"/>
      <c r="AA1" s="5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37" s="2" customFormat="1">
      <c r="C2" s="3"/>
      <c r="D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51" t="s">
        <v>119</v>
      </c>
      <c r="S2" s="55" t="s">
        <v>153</v>
      </c>
      <c r="T2" s="51"/>
      <c r="U2" s="57"/>
      <c r="V2" s="57"/>
      <c r="W2" s="57"/>
      <c r="X2" s="57"/>
      <c r="Y2" s="57"/>
      <c r="Z2" s="57"/>
      <c r="AA2" s="5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37" s="2" customFormat="1">
      <c r="A3" s="2" t="s">
        <v>120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51"/>
      <c r="S3" s="51"/>
      <c r="T3" s="51"/>
      <c r="U3" s="57"/>
      <c r="V3" s="57"/>
      <c r="W3" s="57"/>
      <c r="X3" s="57"/>
      <c r="Y3" s="57"/>
      <c r="Z3" s="57"/>
      <c r="AA3" s="57"/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37" s="2" customFormat="1" ht="15" customHeight="1">
      <c r="A4" s="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51"/>
      <c r="S4" s="51"/>
      <c r="T4" s="51"/>
      <c r="U4" s="57"/>
      <c r="V4" s="57"/>
      <c r="W4" s="57"/>
      <c r="X4" s="57"/>
      <c r="Y4" s="57"/>
      <c r="Z4" s="57"/>
      <c r="AA4" s="57"/>
      <c r="AB4" s="95" t="s">
        <v>133</v>
      </c>
      <c r="AC4" s="87"/>
      <c r="AD4" s="87"/>
      <c r="AE4" s="87"/>
      <c r="AF4" s="87"/>
      <c r="AG4" s="87"/>
      <c r="AH4" s="87"/>
      <c r="AI4" s="87"/>
      <c r="AJ4" s="87"/>
      <c r="AK4" s="87"/>
    </row>
    <row r="5" spans="1:37" s="2" customFormat="1" ht="15" customHeight="1">
      <c r="A5" s="81"/>
      <c r="B5" s="3"/>
      <c r="C5" s="4"/>
      <c r="D5" s="81"/>
      <c r="E5" s="81"/>
      <c r="F5" s="85"/>
      <c r="G5" s="9"/>
      <c r="H5" s="9"/>
      <c r="I5" s="10"/>
      <c r="J5" s="9"/>
      <c r="K5" s="9"/>
      <c r="L5" s="9"/>
      <c r="M5" s="9"/>
      <c r="N5" s="9"/>
      <c r="O5" s="4"/>
      <c r="P5" s="7"/>
      <c r="R5" s="51"/>
      <c r="S5" s="51"/>
      <c r="T5" s="51"/>
      <c r="U5" s="82">
        <v>3</v>
      </c>
      <c r="V5" s="82">
        <f>U5+1</f>
        <v>4</v>
      </c>
      <c r="W5" s="82">
        <f t="shared" ref="W5:AA5" si="0">V5+1</f>
        <v>5</v>
      </c>
      <c r="X5" s="82">
        <f t="shared" si="0"/>
        <v>6</v>
      </c>
      <c r="Y5" s="82">
        <f t="shared" si="0"/>
        <v>7</v>
      </c>
      <c r="Z5" s="82">
        <f t="shared" si="0"/>
        <v>8</v>
      </c>
      <c r="AA5" s="82">
        <f t="shared" si="0"/>
        <v>9</v>
      </c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37" s="2" customFormat="1" ht="31.5" customHeight="1">
      <c r="A6" s="45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68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51" t="s">
        <v>80</v>
      </c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  <c r="AB6" s="88" t="s">
        <v>78</v>
      </c>
      <c r="AC6" s="89" t="s">
        <v>14</v>
      </c>
      <c r="AD6" s="88" t="s">
        <v>68</v>
      </c>
      <c r="AE6" s="90" t="s">
        <v>71</v>
      </c>
      <c r="AF6" s="90" t="s">
        <v>72</v>
      </c>
      <c r="AG6" s="90" t="s">
        <v>73</v>
      </c>
      <c r="AH6" s="90" t="s">
        <v>74</v>
      </c>
      <c r="AI6" s="90" t="s">
        <v>75</v>
      </c>
      <c r="AJ6" s="90" t="s">
        <v>76</v>
      </c>
      <c r="AK6" s="90" t="s">
        <v>77</v>
      </c>
    </row>
    <row r="7" spans="1:37" s="2" customFormat="1">
      <c r="A7" s="4" t="s">
        <v>21</v>
      </c>
      <c r="B7" s="4" t="s">
        <v>19</v>
      </c>
      <c r="C7" s="4">
        <v>2</v>
      </c>
      <c r="D7" s="7" t="s">
        <v>22</v>
      </c>
      <c r="E7" s="4">
        <v>363</v>
      </c>
      <c r="F7" s="46" t="s">
        <v>69</v>
      </c>
      <c r="G7" s="4">
        <v>8</v>
      </c>
      <c r="H7" s="4" t="s">
        <v>20</v>
      </c>
      <c r="I7" s="14">
        <f>U7</f>
        <v>31.74</v>
      </c>
      <c r="J7" s="14">
        <f t="shared" ref="J7:O8" si="1">V7</f>
        <v>33.398000000000003</v>
      </c>
      <c r="K7" s="14">
        <f t="shared" si="1"/>
        <v>35.149000000000001</v>
      </c>
      <c r="L7" s="14">
        <f t="shared" si="1"/>
        <v>36.996000000000002</v>
      </c>
      <c r="M7" s="14">
        <f t="shared" si="1"/>
        <v>38.954999999999998</v>
      </c>
      <c r="N7" s="14">
        <f t="shared" si="1"/>
        <v>41.009</v>
      </c>
      <c r="O7" s="14">
        <f t="shared" si="1"/>
        <v>43.161000000000001</v>
      </c>
      <c r="P7" s="7"/>
      <c r="R7" s="51" t="s">
        <v>81</v>
      </c>
      <c r="S7" s="55" t="s">
        <v>21</v>
      </c>
      <c r="T7" s="56" t="str">
        <f>D7</f>
        <v>911 Dispatcher</v>
      </c>
      <c r="U7" s="66">
        <v>31.74</v>
      </c>
      <c r="V7" s="66">
        <v>33.398000000000003</v>
      </c>
      <c r="W7" s="66">
        <v>35.149000000000001</v>
      </c>
      <c r="X7" s="66">
        <v>36.996000000000002</v>
      </c>
      <c r="Y7" s="66">
        <v>38.954999999999998</v>
      </c>
      <c r="Z7" s="66">
        <v>41.009</v>
      </c>
      <c r="AA7" s="66">
        <v>43.161000000000001</v>
      </c>
      <c r="AB7" s="87" t="str">
        <f>S7</f>
        <v>00011C</v>
      </c>
      <c r="AC7" s="87" t="str">
        <f>T7</f>
        <v>911 Dispatcher</v>
      </c>
      <c r="AD7" s="96" t="str">
        <f>F7</f>
        <v>02</v>
      </c>
      <c r="AE7" s="91">
        <f>ROUND(U7,3)</f>
        <v>31.74</v>
      </c>
      <c r="AF7" s="91">
        <f t="shared" ref="AF7:AK7" si="2">ROUND(V7,3)</f>
        <v>33.398000000000003</v>
      </c>
      <c r="AG7" s="91">
        <f t="shared" si="2"/>
        <v>35.149000000000001</v>
      </c>
      <c r="AH7" s="91">
        <f t="shared" si="2"/>
        <v>36.996000000000002</v>
      </c>
      <c r="AI7" s="91">
        <f t="shared" si="2"/>
        <v>38.954999999999998</v>
      </c>
      <c r="AJ7" s="91">
        <f t="shared" si="2"/>
        <v>41.009</v>
      </c>
      <c r="AK7" s="91">
        <f t="shared" si="2"/>
        <v>43.161000000000001</v>
      </c>
    </row>
    <row r="8" spans="1:37" s="2" customFormat="1">
      <c r="A8" s="4" t="s">
        <v>113</v>
      </c>
      <c r="B8" s="4" t="s">
        <v>19</v>
      </c>
      <c r="C8" s="4">
        <v>2</v>
      </c>
      <c r="D8" s="7" t="s">
        <v>115</v>
      </c>
      <c r="E8" s="4">
        <v>343</v>
      </c>
      <c r="F8" s="46" t="s">
        <v>132</v>
      </c>
      <c r="G8" s="4">
        <v>7</v>
      </c>
      <c r="H8" s="4" t="s">
        <v>20</v>
      </c>
      <c r="I8" s="14">
        <f>U8</f>
        <v>30.283999999999999</v>
      </c>
      <c r="J8" s="14">
        <f t="shared" si="1"/>
        <v>31.882999999999999</v>
      </c>
      <c r="K8" s="14">
        <f t="shared" si="1"/>
        <v>33.561999999999998</v>
      </c>
      <c r="L8" s="14">
        <f t="shared" si="1"/>
        <v>35.323</v>
      </c>
      <c r="M8" s="14">
        <f t="shared" si="1"/>
        <v>37.183999999999997</v>
      </c>
      <c r="N8" s="14">
        <f t="shared" si="1"/>
        <v>39.139000000000003</v>
      </c>
      <c r="O8" s="14">
        <f t="shared" si="1"/>
        <v>41.195</v>
      </c>
      <c r="P8" s="7"/>
      <c r="R8" s="51" t="s">
        <v>81</v>
      </c>
      <c r="S8" s="55" t="s">
        <v>113</v>
      </c>
      <c r="T8" s="56" t="str">
        <f>D8</f>
        <v>911 Call Taker</v>
      </c>
      <c r="U8" s="66">
        <v>30.283999999999999</v>
      </c>
      <c r="V8" s="66">
        <v>31.882999999999999</v>
      </c>
      <c r="W8" s="66">
        <v>33.561999999999998</v>
      </c>
      <c r="X8" s="66">
        <v>35.323</v>
      </c>
      <c r="Y8" s="66">
        <v>37.183999999999997</v>
      </c>
      <c r="Z8" s="66">
        <v>39.139000000000003</v>
      </c>
      <c r="AA8" s="66">
        <v>41.195</v>
      </c>
      <c r="AB8" s="87" t="str">
        <f>S8</f>
        <v>00020C</v>
      </c>
      <c r="AC8" s="87" t="str">
        <f>T8</f>
        <v>911 Call Taker</v>
      </c>
      <c r="AD8" s="96" t="str">
        <f>F8</f>
        <v>01</v>
      </c>
      <c r="AE8" s="91">
        <f>ROUND(U8,3)</f>
        <v>30.283999999999999</v>
      </c>
      <c r="AF8" s="91">
        <f t="shared" ref="AF8" si="3">ROUND(V8,3)</f>
        <v>31.882999999999999</v>
      </c>
      <c r="AG8" s="91">
        <f t="shared" ref="AG8" si="4">ROUND(W8,3)</f>
        <v>33.561999999999998</v>
      </c>
      <c r="AH8" s="91">
        <f t="shared" ref="AH8" si="5">ROUND(X8,3)</f>
        <v>35.323</v>
      </c>
      <c r="AI8" s="91">
        <f t="shared" ref="AI8" si="6">ROUND(Y8,3)</f>
        <v>37.183999999999997</v>
      </c>
      <c r="AJ8" s="91">
        <f t="shared" ref="AJ8" si="7">ROUND(Z8,3)</f>
        <v>39.139000000000003</v>
      </c>
      <c r="AK8" s="91">
        <f t="shared" ref="AK8" si="8">ROUND(AA8,3)</f>
        <v>41.195</v>
      </c>
    </row>
    <row r="9" spans="1:37" s="7" customFormat="1" ht="16.149999999999999" thickBot="1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R9" s="58"/>
      <c r="S9" s="58"/>
      <c r="T9" s="58"/>
      <c r="U9" s="59"/>
      <c r="V9" s="59"/>
      <c r="W9" s="59"/>
      <c r="X9" s="59"/>
      <c r="Y9" s="59"/>
      <c r="Z9" s="59"/>
      <c r="AA9" s="59"/>
      <c r="AB9" s="92"/>
      <c r="AC9" s="92"/>
      <c r="AD9" s="92"/>
      <c r="AE9" s="92"/>
      <c r="AF9" s="92"/>
      <c r="AG9" s="92"/>
      <c r="AH9" s="92"/>
      <c r="AI9" s="92"/>
      <c r="AJ9" s="92"/>
      <c r="AK9" s="92"/>
    </row>
    <row r="10" spans="1:37" s="2" customFormat="1">
      <c r="A10" s="81" t="s">
        <v>56</v>
      </c>
      <c r="B10" s="4"/>
      <c r="C10" s="4"/>
      <c r="E10" s="4"/>
      <c r="F10" s="4"/>
      <c r="G10" s="4"/>
      <c r="H10" s="4"/>
      <c r="I10" s="4"/>
      <c r="J10" s="4"/>
      <c r="K10" s="4"/>
      <c r="L10" s="4"/>
      <c r="P10" s="7"/>
      <c r="R10" s="51"/>
      <c r="S10" s="51"/>
      <c r="T10" s="51"/>
      <c r="U10" s="57"/>
      <c r="V10" s="57"/>
      <c r="W10" s="57"/>
      <c r="X10" s="57"/>
      <c r="Y10" s="57"/>
      <c r="Z10" s="57"/>
      <c r="AA10" s="57"/>
      <c r="AB10" s="87"/>
      <c r="AC10" s="87"/>
      <c r="AD10" s="87"/>
      <c r="AE10" s="87"/>
      <c r="AF10" s="87"/>
      <c r="AG10" s="87"/>
      <c r="AH10" s="87"/>
      <c r="AI10" s="87"/>
      <c r="AJ10" s="87"/>
      <c r="AK10" s="87"/>
    </row>
    <row r="11" spans="1:37" s="2" customFormat="1">
      <c r="A11" s="2" t="str">
        <f ca="1">"In addition to their base rate of pay, employees shall be paid "&amp;TEXT(U11,"$0.000")&amp; " per hour for all hours worked on any shift that begins"</f>
        <v>In addition to their base rate of pay, employees shall be paid $0.597 per hour for all hours worked on any shift that begins</v>
      </c>
      <c r="B11" s="4"/>
      <c r="C11" s="4"/>
      <c r="E11" s="4"/>
      <c r="F11" s="4"/>
      <c r="G11" s="4"/>
      <c r="I11" s="36"/>
      <c r="J11" s="3"/>
      <c r="K11" s="3"/>
      <c r="L11" s="3"/>
      <c r="M11" s="3"/>
      <c r="N11" s="3"/>
      <c r="P11" s="7"/>
      <c r="R11" s="51" t="s">
        <v>81</v>
      </c>
      <c r="S11" s="60" t="s">
        <v>82</v>
      </c>
      <c r="T11" s="60" t="s">
        <v>83</v>
      </c>
      <c r="U11" s="57" cm="1">
        <f t="array" aca="1" ref="U11" ca="1">ROUND(IF($R11="Y",VLOOKUP($S11,INDIRECT($S$2),U$5,0)*INDIRECT($R$1),VLOOKUP($S11,INDIRECT($S$2),U$5,0)),3)</f>
        <v>0.59699999999999998</v>
      </c>
      <c r="V11" s="57"/>
      <c r="W11" s="57"/>
      <c r="X11" s="61"/>
      <c r="Y11" s="57"/>
      <c r="Z11" s="57"/>
      <c r="AA11" s="57"/>
      <c r="AB11" s="87" t="str">
        <f>S11</f>
        <v>CMNEVE</v>
      </c>
      <c r="AC11" s="87" t="str">
        <f>T11</f>
        <v>TL-Evening Shift Premium-CMN</v>
      </c>
      <c r="AD11" s="91">
        <f ca="1">U11</f>
        <v>0.59699999999999998</v>
      </c>
      <c r="AE11" s="87"/>
      <c r="AF11" s="87"/>
      <c r="AG11" s="87"/>
      <c r="AH11" s="87"/>
      <c r="AI11" s="87"/>
      <c r="AJ11" s="87"/>
      <c r="AK11" s="87"/>
    </row>
    <row r="12" spans="1:37" s="2" customFormat="1">
      <c r="A12" s="2" t="s">
        <v>53</v>
      </c>
      <c r="P12" s="7"/>
      <c r="R12" s="51"/>
      <c r="S12" s="51"/>
      <c r="T12" s="51"/>
      <c r="U12" s="57"/>
      <c r="V12" s="57"/>
      <c r="W12" s="57"/>
      <c r="X12" s="57"/>
      <c r="Y12" s="57"/>
      <c r="Z12" s="57"/>
      <c r="AA12" s="57"/>
      <c r="AB12" s="87"/>
      <c r="AC12" s="87"/>
      <c r="AD12" s="91"/>
      <c r="AE12" s="87"/>
      <c r="AF12" s="87"/>
      <c r="AG12" s="87"/>
      <c r="AH12" s="87"/>
      <c r="AI12" s="87"/>
      <c r="AJ12" s="87"/>
      <c r="AK12" s="87"/>
    </row>
    <row r="13" spans="1:37" s="2" customFormat="1">
      <c r="P13" s="7"/>
      <c r="R13" s="51"/>
      <c r="S13" s="51"/>
      <c r="T13" s="51"/>
      <c r="U13" s="57"/>
      <c r="V13" s="57"/>
      <c r="W13" s="57"/>
      <c r="X13" s="57"/>
      <c r="Y13" s="57"/>
      <c r="Z13" s="57"/>
      <c r="AA13" s="57"/>
      <c r="AB13" s="87"/>
      <c r="AC13" s="87"/>
      <c r="AD13" s="91"/>
      <c r="AE13" s="87"/>
      <c r="AF13" s="87"/>
      <c r="AG13" s="87"/>
      <c r="AH13" s="87"/>
      <c r="AI13" s="87"/>
      <c r="AJ13" s="87"/>
      <c r="AK13" s="87"/>
    </row>
    <row r="14" spans="1:37" s="2" customFormat="1">
      <c r="A14" s="2" t="str">
        <f ca="1">"In addition to their base rate of pay, employees shall be paid "&amp;TEXT(U14,"$0.000")&amp;" per hour for all hours worked on any shift that begins"</f>
        <v>In addition to their base rate of pay, employees shall be paid $1.418 per hour for all hours worked on any shift that begins</v>
      </c>
      <c r="I14" s="36"/>
      <c r="P14" s="7"/>
      <c r="R14" s="51" t="s">
        <v>81</v>
      </c>
      <c r="S14" s="60" t="s">
        <v>84</v>
      </c>
      <c r="T14" s="60" t="s">
        <v>85</v>
      </c>
      <c r="U14" s="57" cm="1">
        <f t="array" aca="1" ref="U14" ca="1">ROUND(IF($R14="Y",VLOOKUP($S14,INDIRECT($S$2),U$5,0)*INDIRECT($R$1),VLOOKUP($S14,INDIRECT($S$2),U$5,0)),3)</f>
        <v>1.4179999999999999</v>
      </c>
      <c r="V14" s="57"/>
      <c r="W14" s="57"/>
      <c r="X14" s="57"/>
      <c r="Y14" s="57"/>
      <c r="Z14" s="57"/>
      <c r="AA14" s="57"/>
      <c r="AB14" s="87" t="str">
        <f t="shared" ref="AB14" si="9">S14</f>
        <v>CMNNIT</v>
      </c>
      <c r="AC14" s="87" t="str">
        <f t="shared" ref="AC14" si="10">T14</f>
        <v>TL-Night Shift Premium-CMN</v>
      </c>
      <c r="AD14" s="91">
        <f t="shared" ref="AD14" ca="1" si="11">U14</f>
        <v>1.4179999999999999</v>
      </c>
      <c r="AE14" s="87"/>
      <c r="AF14" s="87"/>
      <c r="AG14" s="87"/>
      <c r="AH14" s="87"/>
      <c r="AI14" s="87"/>
      <c r="AJ14" s="87"/>
      <c r="AK14" s="87"/>
    </row>
    <row r="15" spans="1:37" s="2" customFormat="1">
      <c r="A15" s="2" t="s">
        <v>95</v>
      </c>
      <c r="B15" s="4"/>
      <c r="C15" s="4"/>
      <c r="E15" s="4"/>
      <c r="F15" s="4"/>
      <c r="G15" s="4"/>
      <c r="H15" s="4"/>
      <c r="I15" s="4"/>
      <c r="J15" s="4"/>
      <c r="K15" s="4"/>
      <c r="L15" s="4"/>
      <c r="P15" s="7"/>
      <c r="R15" s="51"/>
      <c r="S15" s="51"/>
      <c r="T15" s="51"/>
      <c r="U15" s="57"/>
      <c r="V15" s="57"/>
      <c r="W15" s="57"/>
      <c r="X15" s="57"/>
      <c r="Y15" s="57"/>
      <c r="Z15" s="57"/>
      <c r="AA15" s="57"/>
      <c r="AB15" s="87"/>
      <c r="AC15" s="87"/>
      <c r="AD15" s="87"/>
      <c r="AE15" s="87"/>
      <c r="AF15" s="87"/>
      <c r="AG15" s="87"/>
      <c r="AH15" s="87"/>
      <c r="AI15" s="87"/>
      <c r="AJ15" s="87"/>
      <c r="AK15" s="87"/>
    </row>
    <row r="16" spans="1:37" s="2" customFormat="1">
      <c r="B16" s="4"/>
      <c r="C16" s="4"/>
      <c r="E16" s="4"/>
      <c r="F16" s="4"/>
      <c r="G16" s="4"/>
      <c r="H16" s="4"/>
      <c r="I16" s="4"/>
      <c r="J16" s="4"/>
      <c r="K16" s="4"/>
      <c r="L16" s="4"/>
      <c r="P16" s="7"/>
      <c r="R16" s="51"/>
      <c r="S16" s="70" t="s">
        <v>145</v>
      </c>
      <c r="T16" s="51"/>
      <c r="U16" s="57"/>
      <c r="V16" s="57"/>
      <c r="W16" s="57"/>
      <c r="X16" s="57"/>
      <c r="Y16" s="57"/>
      <c r="Z16" s="57"/>
      <c r="AA16" s="57"/>
      <c r="AB16" s="100" t="s">
        <v>145</v>
      </c>
      <c r="AC16" s="101"/>
      <c r="AD16" s="101"/>
      <c r="AE16" s="87"/>
      <c r="AF16" s="87"/>
      <c r="AG16" s="87"/>
      <c r="AH16" s="87"/>
      <c r="AI16" s="87"/>
      <c r="AJ16" s="87"/>
      <c r="AK16" s="87"/>
    </row>
    <row r="17" spans="1:37" s="2" customFormat="1">
      <c r="A17" s="2" t="s">
        <v>24</v>
      </c>
      <c r="P17" s="7"/>
      <c r="R17" s="51" t="s">
        <v>81</v>
      </c>
      <c r="S17" s="51" t="s">
        <v>137</v>
      </c>
      <c r="T17" s="99" t="s">
        <v>147</v>
      </c>
      <c r="U17" s="57" cm="1">
        <f t="array" aca="1" ref="U17" ca="1">ROUND(IF($R17="Y",VLOOKUP($S17,INDIRECT($S$2),U$5,0)*INDIRECT($R$1),VLOOKUP($S17,INDIRECT($S$2),U$5,0)),3)</f>
        <v>1.4179999999999999</v>
      </c>
      <c r="V17" s="57"/>
      <c r="W17" s="57"/>
      <c r="X17" s="57"/>
      <c r="Y17" s="57"/>
      <c r="Z17" s="57"/>
      <c r="AA17" s="57"/>
      <c r="AB17" s="101" t="str">
        <f>S17</f>
        <v>NBF</v>
      </c>
      <c r="AC17" s="102" t="str">
        <f>T17</f>
        <v>Higher shift rate</v>
      </c>
      <c r="AD17" s="103">
        <f ca="1">U17</f>
        <v>1.4179999999999999</v>
      </c>
      <c r="AE17" s="87"/>
      <c r="AF17" s="87"/>
      <c r="AG17" s="87"/>
      <c r="AH17" s="87"/>
      <c r="AI17" s="87"/>
      <c r="AJ17" s="87"/>
      <c r="AK17" s="87"/>
    </row>
    <row r="18" spans="1:37" s="2" customFormat="1">
      <c r="A18" s="2" t="s">
        <v>25</v>
      </c>
      <c r="P18" s="7"/>
      <c r="R18" s="51" t="s">
        <v>81</v>
      </c>
      <c r="S18" s="51" t="s">
        <v>138</v>
      </c>
      <c r="T18" s="51" t="s">
        <v>148</v>
      </c>
      <c r="U18" s="57" cm="1">
        <f t="array" aca="1" ref="U18" ca="1">ROUND(IF($R18="Y",VLOOKUP($S18,INDIRECT($S$2),U$5,0)*INDIRECT($R$1),VLOOKUP($S18,INDIRECT($S$2),U$5,0)),3)</f>
        <v>2.1259999999999999</v>
      </c>
      <c r="V18" s="57"/>
      <c r="W18" s="57"/>
      <c r="X18" s="57"/>
      <c r="Y18" s="57"/>
      <c r="Z18" s="57"/>
      <c r="AA18" s="57"/>
      <c r="AB18" s="101" t="str">
        <f t="shared" ref="AB18:AB22" si="12">S18</f>
        <v>NBT</v>
      </c>
      <c r="AC18" s="102" t="str">
        <f t="shared" ref="AC18:AC22" si="13">T18</f>
        <v>Higher shift rate x 1.5</v>
      </c>
      <c r="AD18" s="103">
        <f t="shared" ref="AD18:AD22" ca="1" si="14">U18</f>
        <v>2.1259999999999999</v>
      </c>
      <c r="AE18" s="87"/>
      <c r="AF18" s="87"/>
      <c r="AG18" s="87"/>
      <c r="AH18" s="87"/>
      <c r="AI18" s="87"/>
      <c r="AJ18" s="87"/>
      <c r="AK18" s="87"/>
    </row>
    <row r="19" spans="1:37" s="2" customFormat="1">
      <c r="A19" s="2" t="s">
        <v>26</v>
      </c>
      <c r="P19" s="7"/>
      <c r="R19" s="51" t="s">
        <v>81</v>
      </c>
      <c r="S19" s="51" t="s">
        <v>139</v>
      </c>
      <c r="T19" s="51" t="s">
        <v>146</v>
      </c>
      <c r="U19" s="57" cm="1">
        <f t="array" aca="1" ref="U19" ca="1">ROUND(IF($R19="Y",VLOOKUP($S19,INDIRECT($S$2),U$5,0)*INDIRECT($R$1),VLOOKUP($S19,INDIRECT($S$2),U$5,0)),3)</f>
        <v>2.8340000000000001</v>
      </c>
      <c r="V19" s="57"/>
      <c r="W19" s="57"/>
      <c r="X19" s="57"/>
      <c r="Y19" s="57"/>
      <c r="Z19" s="57"/>
      <c r="AA19" s="57"/>
      <c r="AB19" s="101" t="str">
        <f t="shared" si="12"/>
        <v>NBG</v>
      </c>
      <c r="AC19" s="102" t="str">
        <f t="shared" si="13"/>
        <v>Higher shift rate x 2.0</v>
      </c>
      <c r="AD19" s="103">
        <f t="shared" ca="1" si="14"/>
        <v>2.8340000000000001</v>
      </c>
      <c r="AE19" s="87"/>
      <c r="AF19" s="87"/>
      <c r="AG19" s="87"/>
      <c r="AH19" s="87"/>
      <c r="AI19" s="87"/>
      <c r="AJ19" s="87"/>
      <c r="AK19" s="87"/>
    </row>
    <row r="20" spans="1:3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51" t="s">
        <v>81</v>
      </c>
      <c r="S20" s="51" t="s">
        <v>134</v>
      </c>
      <c r="T20" s="51" t="s">
        <v>149</v>
      </c>
      <c r="U20" s="57" cm="1">
        <f t="array" aca="1" ref="U20" ca="1">ROUND(IF($R20="Y",VLOOKUP($S20,INDIRECT($S$2),U$5,0)*INDIRECT($R$1),VLOOKUP($S20,INDIRECT($S$2),U$5,0)),3)</f>
        <v>0.59699999999999998</v>
      </c>
      <c r="V20" s="57"/>
      <c r="W20" s="57"/>
      <c r="X20" s="57"/>
      <c r="Y20" s="57"/>
      <c r="Z20" s="57"/>
      <c r="AA20" s="57"/>
      <c r="AB20" s="101" t="str">
        <f t="shared" si="12"/>
        <v>NFF</v>
      </c>
      <c r="AC20" s="102" t="str">
        <f t="shared" si="13"/>
        <v>Lower shift rate</v>
      </c>
      <c r="AD20" s="103">
        <f t="shared" ca="1" si="14"/>
        <v>0.59699999999999998</v>
      </c>
      <c r="AE20" s="87"/>
      <c r="AF20" s="87"/>
      <c r="AG20" s="87"/>
      <c r="AH20" s="87"/>
      <c r="AI20" s="87"/>
      <c r="AJ20" s="87"/>
      <c r="AK20" s="87"/>
    </row>
    <row r="21" spans="1:37" s="2" customForma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51" t="s">
        <v>81</v>
      </c>
      <c r="S21" s="51" t="s">
        <v>135</v>
      </c>
      <c r="T21" s="51" t="s">
        <v>150</v>
      </c>
      <c r="U21" s="57" cm="1">
        <f t="array" aca="1" ref="U21" ca="1">ROUND(IF($R21="Y",VLOOKUP($S21,INDIRECT($S$2),U$5,0)*INDIRECT($R$1),VLOOKUP($S21,INDIRECT($S$2),U$5,0)),3)</f>
        <v>0.89500000000000002</v>
      </c>
      <c r="V21" s="57"/>
      <c r="W21" s="57"/>
      <c r="X21" s="57"/>
      <c r="Y21" s="57"/>
      <c r="Z21" s="57"/>
      <c r="AA21" s="57"/>
      <c r="AB21" s="101" t="str">
        <f t="shared" si="12"/>
        <v>NFT</v>
      </c>
      <c r="AC21" s="102" t="str">
        <f t="shared" si="13"/>
        <v>Lower shift rate x 1.5</v>
      </c>
      <c r="AD21" s="103">
        <f t="shared" ca="1" si="14"/>
        <v>0.89500000000000002</v>
      </c>
      <c r="AE21" s="87"/>
      <c r="AF21" s="87"/>
      <c r="AG21" s="87"/>
      <c r="AH21" s="87"/>
      <c r="AI21" s="87"/>
      <c r="AJ21" s="87"/>
      <c r="AK21" s="87"/>
    </row>
    <row r="22" spans="1:3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51" t="s">
        <v>81</v>
      </c>
      <c r="S22" s="51" t="s">
        <v>136</v>
      </c>
      <c r="T22" s="51" t="s">
        <v>151</v>
      </c>
      <c r="U22" s="57" cm="1">
        <f t="array" aca="1" ref="U22" ca="1">ROUND(IF($R22="Y",VLOOKUP($S22,INDIRECT($S$2),U$5,0)*INDIRECT($R$1),VLOOKUP($S22,INDIRECT($S$2),U$5,0)),3)</f>
        <v>1.1919999999999999</v>
      </c>
      <c r="V22" s="57"/>
      <c r="W22" s="57"/>
      <c r="X22" s="57"/>
      <c r="Y22" s="57"/>
      <c r="Z22" s="57"/>
      <c r="AA22" s="57"/>
      <c r="AB22" s="101" t="str">
        <f t="shared" si="12"/>
        <v>NFG</v>
      </c>
      <c r="AC22" s="102" t="str">
        <f t="shared" si="13"/>
        <v>Lower shift rate x 2.0</v>
      </c>
      <c r="AD22" s="103">
        <f t="shared" ca="1" si="14"/>
        <v>1.1919999999999999</v>
      </c>
      <c r="AE22" s="87"/>
      <c r="AF22" s="87"/>
      <c r="AG22" s="87"/>
      <c r="AH22" s="87"/>
      <c r="AI22" s="87"/>
      <c r="AJ22" s="87"/>
      <c r="AK22" s="87"/>
    </row>
    <row r="23" spans="1:37" s="2" customFormat="1">
      <c r="B23" s="1"/>
      <c r="C23" s="1"/>
      <c r="D23" s="7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51"/>
      <c r="S23" s="51"/>
      <c r="T23" s="51"/>
      <c r="U23" s="57"/>
      <c r="V23" s="57"/>
      <c r="W23" s="57"/>
      <c r="X23" s="57"/>
      <c r="Y23" s="57"/>
      <c r="Z23" s="57"/>
      <c r="AA23" s="57"/>
      <c r="AB23" s="87"/>
      <c r="AC23" s="87"/>
      <c r="AD23" s="87"/>
      <c r="AE23" s="87"/>
      <c r="AF23" s="87"/>
      <c r="AG23" s="87"/>
      <c r="AH23" s="87"/>
      <c r="AI23" s="87"/>
      <c r="AJ23" s="87"/>
      <c r="AK23" s="87"/>
    </row>
    <row r="24" spans="1:3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51"/>
      <c r="S24" s="51"/>
      <c r="T24" s="51"/>
      <c r="U24" s="57"/>
      <c r="V24" s="57"/>
      <c r="W24" s="57"/>
      <c r="X24" s="57"/>
      <c r="Y24" s="57"/>
      <c r="Z24" s="57"/>
      <c r="AA24" s="57"/>
      <c r="AB24" s="87"/>
      <c r="AC24" s="87"/>
      <c r="AD24" s="87"/>
      <c r="AE24" s="87"/>
      <c r="AF24" s="87"/>
      <c r="AG24" s="87"/>
      <c r="AH24" s="87"/>
      <c r="AI24" s="87"/>
      <c r="AJ24" s="87"/>
      <c r="AK24" s="87"/>
    </row>
    <row r="25" spans="1:3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51"/>
      <c r="S25" s="51"/>
      <c r="T25" s="51"/>
      <c r="U25" s="57"/>
      <c r="V25" s="57"/>
      <c r="W25" s="57"/>
      <c r="X25" s="57"/>
      <c r="Y25" s="57"/>
      <c r="Z25" s="57"/>
      <c r="AA25" s="5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1:37" s="2" customFormat="1">
      <c r="A26" s="86" t="s">
        <v>28</v>
      </c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7"/>
      <c r="N26" s="7"/>
      <c r="O26" s="7"/>
      <c r="P26" s="7"/>
      <c r="R26" s="51"/>
      <c r="S26" s="51"/>
      <c r="T26" s="51"/>
      <c r="U26" s="57"/>
      <c r="V26" s="57"/>
      <c r="W26" s="57"/>
      <c r="X26" s="57"/>
      <c r="Y26" s="57"/>
      <c r="Z26" s="57"/>
      <c r="AA26" s="57"/>
      <c r="AB26" s="87"/>
      <c r="AC26" s="87"/>
      <c r="AD26" s="87"/>
      <c r="AE26" s="87"/>
      <c r="AF26" s="87"/>
      <c r="AG26" s="87"/>
      <c r="AH26" s="87"/>
      <c r="AI26" s="87"/>
      <c r="AJ26" s="87"/>
      <c r="AK26" s="87"/>
    </row>
    <row r="27" spans="1:37" s="2" customFormat="1">
      <c r="A27" s="2" t="s">
        <v>29</v>
      </c>
      <c r="J27" s="4"/>
      <c r="K27" s="4"/>
      <c r="L27" s="4"/>
      <c r="P27" s="7"/>
      <c r="R27" s="51"/>
      <c r="S27" s="70" t="s">
        <v>93</v>
      </c>
      <c r="T27" s="51"/>
      <c r="U27" s="57"/>
      <c r="V27" s="57"/>
      <c r="W27" s="57"/>
      <c r="X27" s="57"/>
      <c r="Y27" s="57"/>
      <c r="Z27" s="57"/>
      <c r="AA27" s="57"/>
      <c r="AB27" s="93" t="s">
        <v>93</v>
      </c>
      <c r="AC27" s="87"/>
      <c r="AD27" s="87"/>
      <c r="AE27" s="87"/>
      <c r="AF27" s="87"/>
      <c r="AG27" s="87"/>
      <c r="AH27" s="87"/>
      <c r="AI27" s="87"/>
      <c r="AJ27" s="87"/>
      <c r="AK27" s="87"/>
    </row>
    <row r="28" spans="1:37" s="2" customFormat="1">
      <c r="A28" s="24">
        <f ca="1">U28</f>
        <v>0.48399999999999999</v>
      </c>
      <c r="B28" s="2" t="s">
        <v>30</v>
      </c>
      <c r="J28" s="4"/>
      <c r="K28" s="4"/>
      <c r="L28" s="4"/>
      <c r="P28" s="7"/>
      <c r="R28" s="51" t="s">
        <v>81</v>
      </c>
      <c r="S28" s="51" t="s">
        <v>86</v>
      </c>
      <c r="T28" s="51"/>
      <c r="U28" s="57" cm="1">
        <f t="array" aca="1" ref="U28" ca="1">ROUND(IF($R28="Y",VLOOKUP($S28,INDIRECT($S$2),U$5,0)*INDIRECT($R$1),VLOOKUP($S28,INDIRECT($S$2),U$5,0)),3)</f>
        <v>0.48399999999999999</v>
      </c>
      <c r="V28" s="57"/>
      <c r="W28" s="57"/>
      <c r="X28" s="57"/>
      <c r="Y28" s="57"/>
      <c r="Z28" s="57"/>
      <c r="AA28" s="57"/>
      <c r="AB28" s="87" t="str">
        <f>S28</f>
        <v>10th Year</v>
      </c>
      <c r="AC28" s="87"/>
      <c r="AD28" s="91">
        <f ca="1">U28</f>
        <v>0.48399999999999999</v>
      </c>
      <c r="AE28" s="87"/>
      <c r="AF28" s="87"/>
      <c r="AG28" s="87"/>
      <c r="AH28" s="87"/>
      <c r="AI28" s="87"/>
      <c r="AJ28" s="87"/>
      <c r="AK28" s="87"/>
    </row>
    <row r="29" spans="1:37" s="2" customFormat="1">
      <c r="A29" s="24">
        <f ca="1">U29</f>
        <v>0.623</v>
      </c>
      <c r="B29" s="2" t="s">
        <v>31</v>
      </c>
      <c r="J29" s="4"/>
      <c r="K29" s="4"/>
      <c r="L29" s="4"/>
      <c r="P29" s="7"/>
      <c r="R29" s="51" t="s">
        <v>81</v>
      </c>
      <c r="S29" s="51" t="s">
        <v>87</v>
      </c>
      <c r="T29" s="51"/>
      <c r="U29" s="57" cm="1">
        <f t="array" aca="1" ref="U29" ca="1">ROUND(IF($R29="Y",VLOOKUP($S29,INDIRECT($S$2),U$5,0)*INDIRECT($R$1),VLOOKUP($S29,INDIRECT($S$2),U$5,0)),3)</f>
        <v>0.623</v>
      </c>
      <c r="V29" s="57"/>
      <c r="W29" s="57"/>
      <c r="X29" s="57"/>
      <c r="Y29" s="57"/>
      <c r="Z29" s="57"/>
      <c r="AA29" s="57"/>
      <c r="AB29" s="87" t="str">
        <f t="shared" ref="AB29:AB31" si="15">S29</f>
        <v>15th Year</v>
      </c>
      <c r="AC29" s="87"/>
      <c r="AD29" s="91">
        <f t="shared" ref="AD29:AD31" ca="1" si="16">U29</f>
        <v>0.623</v>
      </c>
      <c r="AE29" s="87"/>
      <c r="AF29" s="87"/>
      <c r="AG29" s="87"/>
      <c r="AH29" s="87"/>
      <c r="AI29" s="87"/>
      <c r="AJ29" s="87"/>
      <c r="AK29" s="87"/>
    </row>
    <row r="30" spans="1:37" s="2" customFormat="1">
      <c r="A30" s="24">
        <f ca="1">U30</f>
        <v>0.76400000000000001</v>
      </c>
      <c r="B30" s="2" t="s">
        <v>32</v>
      </c>
      <c r="J30" s="4"/>
      <c r="K30" s="4"/>
      <c r="L30" s="4"/>
      <c r="P30" s="7"/>
      <c r="R30" s="51" t="s">
        <v>81</v>
      </c>
      <c r="S30" s="51" t="s">
        <v>88</v>
      </c>
      <c r="T30" s="51"/>
      <c r="U30" s="57" cm="1">
        <f t="array" aca="1" ref="U30" ca="1">ROUND(IF($R30="Y",VLOOKUP($S30,INDIRECT($S$2),U$5,0)*INDIRECT($R$1),VLOOKUP($S30,INDIRECT($S$2),U$5,0)),3)</f>
        <v>0.76400000000000001</v>
      </c>
      <c r="V30" s="57"/>
      <c r="W30" s="57"/>
      <c r="X30" s="57"/>
      <c r="Y30" s="57"/>
      <c r="Z30" s="57"/>
      <c r="AA30" s="57"/>
      <c r="AB30" s="87" t="str">
        <f t="shared" si="15"/>
        <v>20th Year</v>
      </c>
      <c r="AC30" s="87"/>
      <c r="AD30" s="91">
        <f t="shared" ca="1" si="16"/>
        <v>0.76400000000000001</v>
      </c>
      <c r="AE30" s="87"/>
      <c r="AF30" s="87"/>
      <c r="AG30" s="87"/>
      <c r="AH30" s="87"/>
      <c r="AI30" s="87"/>
      <c r="AJ30" s="87"/>
      <c r="AK30" s="87"/>
    </row>
    <row r="31" spans="1:37" s="2" customFormat="1">
      <c r="A31" s="24">
        <f ca="1">U31</f>
        <v>0.90400000000000003</v>
      </c>
      <c r="B31" s="2" t="s">
        <v>33</v>
      </c>
      <c r="J31" s="4"/>
      <c r="K31" s="4"/>
      <c r="L31" s="4"/>
      <c r="P31" s="7"/>
      <c r="R31" s="51" t="s">
        <v>81</v>
      </c>
      <c r="S31" s="51" t="s">
        <v>89</v>
      </c>
      <c r="T31" s="51"/>
      <c r="U31" s="57" cm="1">
        <f t="array" aca="1" ref="U31" ca="1">ROUND(IF($R31="Y",VLOOKUP($S31,INDIRECT($S$2),U$5,0)*INDIRECT($R$1),VLOOKUP($S31,INDIRECT($S$2),U$5,0)),3)</f>
        <v>0.90400000000000003</v>
      </c>
      <c r="V31" s="57"/>
      <c r="W31" s="57"/>
      <c r="X31" s="57"/>
      <c r="Y31" s="57"/>
      <c r="Z31" s="57"/>
      <c r="AA31" s="57"/>
      <c r="AB31" s="87" t="str">
        <f t="shared" si="15"/>
        <v>25th Year</v>
      </c>
      <c r="AC31" s="87"/>
      <c r="AD31" s="91">
        <f t="shared" ca="1" si="16"/>
        <v>0.90400000000000003</v>
      </c>
      <c r="AE31" s="87"/>
      <c r="AF31" s="87"/>
      <c r="AG31" s="87"/>
      <c r="AH31" s="87"/>
      <c r="AI31" s="87"/>
      <c r="AJ31" s="87"/>
      <c r="AK31" s="87"/>
    </row>
    <row r="32" spans="1:37" s="2" customFormat="1">
      <c r="A32" s="1"/>
      <c r="B32" s="1"/>
      <c r="C32" s="1"/>
      <c r="D32" s="7"/>
      <c r="E32" s="1"/>
      <c r="F32" s="1"/>
      <c r="G32" s="1"/>
      <c r="H32" s="1"/>
      <c r="I32" s="1"/>
      <c r="J32" s="1"/>
      <c r="K32" s="1"/>
      <c r="L32" s="1"/>
      <c r="M32" s="7"/>
      <c r="N32" s="7"/>
      <c r="O32" s="1"/>
      <c r="P32" s="1"/>
      <c r="R32" s="51"/>
      <c r="S32" s="51"/>
      <c r="T32" s="51"/>
      <c r="U32" s="57"/>
      <c r="V32" s="57"/>
      <c r="W32" s="57"/>
      <c r="X32" s="57"/>
      <c r="Y32" s="57"/>
      <c r="Z32" s="57"/>
      <c r="AA32" s="57"/>
      <c r="AB32" s="87"/>
      <c r="AC32" s="87"/>
      <c r="AD32" s="87"/>
      <c r="AE32" s="87"/>
      <c r="AF32" s="87"/>
      <c r="AG32" s="87"/>
      <c r="AH32" s="87"/>
      <c r="AI32" s="87"/>
      <c r="AJ32" s="87"/>
      <c r="AK32" s="87"/>
    </row>
    <row r="33" spans="1:37" s="26" customFormat="1">
      <c r="A33" s="25" t="s">
        <v>35</v>
      </c>
      <c r="E33" s="27"/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63"/>
      <c r="S33" s="63"/>
      <c r="T33" s="63"/>
      <c r="U33" s="64"/>
      <c r="V33" s="64"/>
      <c r="W33" s="64"/>
      <c r="X33" s="64"/>
      <c r="Y33" s="64"/>
      <c r="Z33" s="64"/>
      <c r="AA33" s="64"/>
      <c r="AB33" s="94"/>
      <c r="AC33" s="94"/>
      <c r="AD33" s="94"/>
      <c r="AE33" s="94"/>
      <c r="AF33" s="94"/>
      <c r="AG33" s="94"/>
      <c r="AH33" s="94"/>
      <c r="AI33" s="94"/>
      <c r="AJ33" s="94"/>
      <c r="AK33" s="94"/>
    </row>
    <row r="34" spans="1:37" s="2" customFormat="1">
      <c r="A34" s="37" t="s">
        <v>57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51"/>
      <c r="S34" s="51"/>
      <c r="T34" s="51"/>
      <c r="U34" s="57"/>
      <c r="V34" s="57"/>
      <c r="W34" s="57"/>
      <c r="X34" s="57"/>
      <c r="Y34" s="57"/>
      <c r="Z34" s="57"/>
      <c r="AA34" s="57"/>
      <c r="AB34" s="87"/>
      <c r="AC34" s="87"/>
      <c r="AD34" s="87"/>
      <c r="AE34" s="87"/>
      <c r="AF34" s="87"/>
      <c r="AG34" s="87"/>
      <c r="AH34" s="87"/>
      <c r="AI34" s="87"/>
      <c r="AJ34" s="87"/>
      <c r="AK34" s="87"/>
    </row>
    <row r="35" spans="1:37" s="2" customFormat="1">
      <c r="A35" s="2" t="str">
        <f>"Dispatcher's hourly top-step rate of pay. Coaching/Training Premium = "&amp;TEXT(U35,"$0.000")&amp;" per hour assigned and coaching/training."</f>
        <v>Dispatcher's hourly top-step rate of pay. Coaching/Training Premium = $8.632 per hour assigned and coaching/training.</v>
      </c>
      <c r="G35" s="4"/>
      <c r="J35" s="34"/>
      <c r="K35" s="3"/>
      <c r="M35" s="4"/>
      <c r="N35" s="4"/>
      <c r="O35" s="4"/>
      <c r="P35" s="1"/>
      <c r="R35" s="51" t="s">
        <v>81</v>
      </c>
      <c r="S35" s="51" t="s">
        <v>140</v>
      </c>
      <c r="T35" s="51" t="s">
        <v>35</v>
      </c>
      <c r="U35" s="57">
        <f>AA7*0.2</f>
        <v>8.632200000000001</v>
      </c>
      <c r="V35" s="57"/>
      <c r="W35" s="68" t="s">
        <v>96</v>
      </c>
      <c r="X35" s="57"/>
      <c r="Y35" s="57"/>
      <c r="Z35" s="57"/>
      <c r="AA35" s="57">
        <f>AA7*0.2</f>
        <v>8.632200000000001</v>
      </c>
      <c r="AB35" s="87" t="str">
        <f t="shared" ref="AB35" si="17">S35</f>
        <v>COA</v>
      </c>
      <c r="AC35" s="87" t="str">
        <f t="shared" ref="AC35" si="18">T35</f>
        <v>Coaching/Training Premium</v>
      </c>
      <c r="AD35" s="91">
        <f t="shared" ref="AD35" si="19">U35</f>
        <v>8.632200000000001</v>
      </c>
      <c r="AE35" s="87"/>
      <c r="AF35" s="87"/>
      <c r="AG35" s="87"/>
      <c r="AH35" s="87"/>
      <c r="AI35" s="87"/>
      <c r="AJ35" s="87"/>
      <c r="AK35" s="87"/>
    </row>
    <row r="36" spans="1:37" s="2" customFormat="1">
      <c r="A36" s="3"/>
      <c r="E36" s="4"/>
      <c r="F36" s="4"/>
      <c r="G36" s="4"/>
      <c r="H36" s="4"/>
      <c r="J36" s="32"/>
      <c r="K36" s="3"/>
      <c r="L36" s="4"/>
      <c r="M36" s="4"/>
      <c r="N36" s="4"/>
      <c r="O36" s="4"/>
      <c r="P36" s="1"/>
      <c r="R36" s="51"/>
      <c r="S36" s="51"/>
      <c r="T36" s="51"/>
      <c r="U36" s="57"/>
      <c r="V36" s="57"/>
      <c r="W36" s="57"/>
      <c r="X36" s="57"/>
      <c r="Y36" s="57"/>
      <c r="Z36" s="57"/>
      <c r="AA36" s="5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pans="1:37" s="2" customFormat="1">
      <c r="A37" s="25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51"/>
      <c r="S37" s="51"/>
      <c r="T37" s="51"/>
      <c r="U37" s="57"/>
      <c r="V37" s="57"/>
      <c r="W37" s="57"/>
      <c r="X37" s="57"/>
      <c r="Y37" s="57"/>
      <c r="Z37" s="57"/>
      <c r="AA37" s="57"/>
      <c r="AB37" s="87"/>
      <c r="AC37" s="87"/>
      <c r="AD37" s="87"/>
      <c r="AE37" s="87"/>
      <c r="AF37" s="87"/>
      <c r="AG37" s="87"/>
      <c r="AH37" s="87"/>
      <c r="AI37" s="87"/>
      <c r="AJ37" s="87"/>
      <c r="AK37" s="87"/>
    </row>
    <row r="38" spans="1:37" s="2" customFormat="1">
      <c r="A38" s="40" t="s">
        <v>62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51"/>
      <c r="S38" s="51"/>
      <c r="T38" s="51"/>
      <c r="U38" s="57"/>
      <c r="V38" s="57"/>
      <c r="W38" s="57"/>
      <c r="X38" s="57"/>
      <c r="Y38" s="57"/>
      <c r="Z38" s="57"/>
      <c r="AA38" s="57"/>
      <c r="AB38" s="87"/>
      <c r="AC38" s="87"/>
      <c r="AD38" s="87"/>
      <c r="AE38" s="87"/>
      <c r="AF38" s="87"/>
      <c r="AG38" s="87"/>
      <c r="AH38" s="87"/>
      <c r="AI38" s="87"/>
      <c r="AJ38" s="87"/>
      <c r="AK38" s="87"/>
    </row>
    <row r="39" spans="1:37" s="2" customFormat="1">
      <c r="A39" s="2" t="s">
        <v>63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51"/>
      <c r="S39" s="51"/>
      <c r="T39" s="51"/>
      <c r="U39" s="57"/>
      <c r="V39" s="57"/>
      <c r="W39" s="57"/>
      <c r="X39" s="57"/>
      <c r="Y39" s="57"/>
      <c r="Z39" s="57"/>
      <c r="AA39" s="57"/>
      <c r="AB39" s="87"/>
      <c r="AC39" s="87"/>
      <c r="AD39" s="87"/>
      <c r="AE39" s="87"/>
      <c r="AF39" s="87"/>
      <c r="AG39" s="87"/>
      <c r="AH39" s="87"/>
      <c r="AI39" s="87"/>
      <c r="AJ39" s="87"/>
      <c r="AK39" s="87"/>
    </row>
    <row r="40" spans="1:37" s="2" customFormat="1">
      <c r="I40" s="73" t="s">
        <v>60</v>
      </c>
      <c r="J40" s="12" t="s">
        <v>71</v>
      </c>
      <c r="K40" s="12" t="s">
        <v>72</v>
      </c>
      <c r="L40" s="12" t="s">
        <v>73</v>
      </c>
      <c r="M40" s="12" t="s">
        <v>74</v>
      </c>
      <c r="N40" s="12" t="s">
        <v>75</v>
      </c>
      <c r="O40" s="12" t="s">
        <v>76</v>
      </c>
      <c r="P40" s="12" t="s">
        <v>77</v>
      </c>
      <c r="R40" s="51"/>
      <c r="S40" s="66"/>
      <c r="T40" s="66"/>
      <c r="U40" s="66"/>
      <c r="V40" s="61"/>
      <c r="W40" s="69" t="s">
        <v>98</v>
      </c>
      <c r="X40" s="66"/>
      <c r="Y40" s="66"/>
      <c r="Z40" s="51"/>
      <c r="AA40" s="51"/>
      <c r="AB40" s="87"/>
      <c r="AC40" s="87"/>
      <c r="AD40" s="87"/>
      <c r="AE40" s="87"/>
      <c r="AF40" s="87"/>
      <c r="AG40" s="87"/>
      <c r="AH40" s="87"/>
      <c r="AI40" s="87"/>
      <c r="AJ40" s="87"/>
      <c r="AK40" s="87"/>
    </row>
    <row r="41" spans="1:37">
      <c r="I41" s="74" t="s">
        <v>61</v>
      </c>
      <c r="J41" s="14">
        <f>ROUND(HLOOKUP(J40,$I$6:$O$7,2)*1.5,3)</f>
        <v>47.61</v>
      </c>
      <c r="K41" s="14">
        <f t="shared" ref="K41:P41" si="20">ROUND(HLOOKUP(K40,$I$6:$O$7,2)*1.5,3)</f>
        <v>50.097000000000001</v>
      </c>
      <c r="L41" s="14">
        <f t="shared" si="20"/>
        <v>52.723999999999997</v>
      </c>
      <c r="M41" s="14">
        <f t="shared" si="20"/>
        <v>55.494</v>
      </c>
      <c r="N41" s="14">
        <f t="shared" si="20"/>
        <v>58.433</v>
      </c>
      <c r="O41" s="14">
        <f t="shared" si="20"/>
        <v>61.514000000000003</v>
      </c>
      <c r="P41" s="14">
        <f t="shared" si="20"/>
        <v>64.742000000000004</v>
      </c>
      <c r="S41" s="67"/>
      <c r="T41" s="67"/>
      <c r="U41" s="67"/>
      <c r="V41" s="67"/>
      <c r="W41" s="67"/>
      <c r="X41" s="67"/>
      <c r="Y41" s="67"/>
    </row>
  </sheetData>
  <mergeCells count="1">
    <mergeCell ref="A1:O1"/>
  </mergeCells>
  <pageMargins left="0.25" right="0.25" top="0.5" bottom="0.25" header="0.5" footer="0.5"/>
  <pageSetup scale="51" orientation="landscape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81B0-673F-49BF-97F5-34841D0C6877}">
  <sheetPr>
    <pageSetUpPr fitToPage="1"/>
  </sheetPr>
  <dimension ref="A1:AK41"/>
  <sheetViews>
    <sheetView showGridLines="0" topLeftCell="D6" zoomScaleNormal="100" workbookViewId="0">
      <selection activeCell="U36" sqref="U36"/>
    </sheetView>
  </sheetViews>
  <sheetFormatPr defaultColWidth="9.1328125" defaultRowHeight="15.75"/>
  <cols>
    <col min="1" max="1" width="10.73046875" style="29" customWidth="1"/>
    <col min="2" max="2" width="6.73046875" style="29" customWidth="1"/>
    <col min="3" max="3" width="4.86328125" style="29" bestFit="1" customWidth="1"/>
    <col min="4" max="4" width="18.73046875" style="29" bestFit="1" customWidth="1"/>
    <col min="5" max="5" width="4.59765625" style="29" bestFit="1" customWidth="1"/>
    <col min="6" max="6" width="7" style="29" bestFit="1" customWidth="1"/>
    <col min="7" max="7" width="6.86328125" style="29" bestFit="1" customWidth="1"/>
    <col min="8" max="8" width="5.73046875" style="29" bestFit="1" customWidth="1"/>
    <col min="9" max="9" width="8.59765625" style="29" customWidth="1"/>
    <col min="10" max="15" width="8.59765625" style="29" bestFit="1" customWidth="1"/>
    <col min="16" max="16" width="8.3984375" style="29" bestFit="1" customWidth="1"/>
    <col min="17" max="17" width="9.1328125" style="29"/>
    <col min="18" max="18" width="16.73046875" style="51" bestFit="1" customWidth="1"/>
    <col min="19" max="19" width="15.73046875" style="51" bestFit="1" customWidth="1"/>
    <col min="20" max="20" width="27.59765625" style="51" bestFit="1" customWidth="1"/>
    <col min="21" max="22" width="8.3984375" style="57" bestFit="1" customWidth="1"/>
    <col min="23" max="23" width="23.73046875" style="57" bestFit="1" customWidth="1"/>
    <col min="24" max="27" width="8.3984375" style="57" bestFit="1" customWidth="1"/>
    <col min="28" max="28" width="15.73046875" style="87" bestFit="1" customWidth="1"/>
    <col min="29" max="29" width="30.59765625" style="87" bestFit="1" customWidth="1"/>
    <col min="30" max="30" width="7.265625" style="87" bestFit="1" customWidth="1"/>
    <col min="31" max="37" width="8.3984375" style="87" bestFit="1" customWidth="1"/>
    <col min="38" max="16384" width="9.1328125" style="29"/>
  </cols>
  <sheetData>
    <row r="1" spans="1:3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51" t="s">
        <v>126</v>
      </c>
      <c r="S1" s="84">
        <v>1.0075000000000001</v>
      </c>
      <c r="T1" s="51"/>
      <c r="U1" s="57"/>
      <c r="V1" s="57"/>
      <c r="W1" s="57"/>
      <c r="X1" s="57"/>
      <c r="Y1" s="57"/>
      <c r="Z1" s="57"/>
      <c r="AA1" s="5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37" s="2" customFormat="1">
      <c r="C2" s="3"/>
      <c r="D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51" t="s">
        <v>119</v>
      </c>
      <c r="S2" s="55" t="s">
        <v>124</v>
      </c>
      <c r="T2" s="51"/>
      <c r="U2" s="57"/>
      <c r="V2" s="57"/>
      <c r="W2" s="57"/>
      <c r="X2" s="57"/>
      <c r="Y2" s="57"/>
      <c r="Z2" s="57"/>
      <c r="AA2" s="5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37" s="2" customFormat="1">
      <c r="A3" s="2" t="s">
        <v>125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51"/>
      <c r="S3" s="51"/>
      <c r="T3" s="51"/>
      <c r="U3" s="57"/>
      <c r="V3" s="57"/>
      <c r="W3" s="57"/>
      <c r="X3" s="57"/>
      <c r="Y3" s="57"/>
      <c r="Z3" s="57"/>
      <c r="AA3" s="57"/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37" s="2" customFormat="1" ht="15" customHeight="1">
      <c r="A4" s="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51"/>
      <c r="S4" s="51"/>
      <c r="T4" s="51"/>
      <c r="U4" s="57"/>
      <c r="V4" s="57"/>
      <c r="W4" s="57"/>
      <c r="X4" s="57"/>
      <c r="Y4" s="57"/>
      <c r="Z4" s="57"/>
      <c r="AA4" s="57"/>
      <c r="AB4" s="95" t="s">
        <v>133</v>
      </c>
      <c r="AC4" s="87"/>
      <c r="AD4" s="87"/>
      <c r="AE4" s="87"/>
      <c r="AF4" s="87"/>
      <c r="AG4" s="87"/>
      <c r="AH4" s="87"/>
      <c r="AI4" s="87"/>
      <c r="AJ4" s="87"/>
      <c r="AK4" s="87"/>
    </row>
    <row r="5" spans="1:37" s="2" customFormat="1" ht="15" customHeight="1">
      <c r="A5" s="81"/>
      <c r="B5" s="3"/>
      <c r="C5" s="4"/>
      <c r="D5" s="81"/>
      <c r="E5" s="81"/>
      <c r="F5" s="85"/>
      <c r="G5" s="9"/>
      <c r="H5" s="9"/>
      <c r="I5" s="10"/>
      <c r="J5" s="9"/>
      <c r="K5" s="9"/>
      <c r="L5" s="9"/>
      <c r="M5" s="9"/>
      <c r="N5" s="9"/>
      <c r="O5" s="4"/>
      <c r="P5" s="7"/>
      <c r="R5" s="51"/>
      <c r="S5" s="51"/>
      <c r="T5" s="51"/>
      <c r="U5" s="82">
        <v>3</v>
      </c>
      <c r="V5" s="82">
        <f>U5+1</f>
        <v>4</v>
      </c>
      <c r="W5" s="82">
        <f t="shared" ref="W5:AA5" si="0">V5+1</f>
        <v>5</v>
      </c>
      <c r="X5" s="82">
        <f t="shared" si="0"/>
        <v>6</v>
      </c>
      <c r="Y5" s="82">
        <f t="shared" si="0"/>
        <v>7</v>
      </c>
      <c r="Z5" s="82">
        <f t="shared" si="0"/>
        <v>8</v>
      </c>
      <c r="AA5" s="82">
        <f t="shared" si="0"/>
        <v>9</v>
      </c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37" s="2" customFormat="1" ht="31.5" customHeight="1">
      <c r="A6" s="45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68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51" t="s">
        <v>80</v>
      </c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  <c r="AB6" s="88" t="s">
        <v>78</v>
      </c>
      <c r="AC6" s="89" t="s">
        <v>14</v>
      </c>
      <c r="AD6" s="88" t="s">
        <v>68</v>
      </c>
      <c r="AE6" s="90" t="s">
        <v>71</v>
      </c>
      <c r="AF6" s="90" t="s">
        <v>72</v>
      </c>
      <c r="AG6" s="90" t="s">
        <v>73</v>
      </c>
      <c r="AH6" s="90" t="s">
        <v>74</v>
      </c>
      <c r="AI6" s="90" t="s">
        <v>75</v>
      </c>
      <c r="AJ6" s="90" t="s">
        <v>76</v>
      </c>
      <c r="AK6" s="90" t="s">
        <v>77</v>
      </c>
    </row>
    <row r="7" spans="1:37" s="2" customFormat="1">
      <c r="A7" s="4" t="s">
        <v>21</v>
      </c>
      <c r="B7" s="4" t="s">
        <v>19</v>
      </c>
      <c r="C7" s="4">
        <v>2</v>
      </c>
      <c r="D7" s="7" t="s">
        <v>22</v>
      </c>
      <c r="E7" s="4">
        <v>363</v>
      </c>
      <c r="F7" s="46" t="s">
        <v>69</v>
      </c>
      <c r="G7" s="4">
        <v>8</v>
      </c>
      <c r="H7" s="4" t="s">
        <v>20</v>
      </c>
      <c r="I7" s="14">
        <f ca="1">U7</f>
        <v>31.978000000000002</v>
      </c>
      <c r="J7" s="14">
        <f t="shared" ref="J7:O8" ca="1" si="1">V7</f>
        <v>33.648000000000003</v>
      </c>
      <c r="K7" s="14">
        <f t="shared" ca="1" si="1"/>
        <v>35.412999999999997</v>
      </c>
      <c r="L7" s="14">
        <f t="shared" ca="1" si="1"/>
        <v>37.273000000000003</v>
      </c>
      <c r="M7" s="14">
        <f t="shared" ca="1" si="1"/>
        <v>39.247</v>
      </c>
      <c r="N7" s="14">
        <f t="shared" ca="1" si="1"/>
        <v>41.317</v>
      </c>
      <c r="O7" s="14">
        <f t="shared" ca="1" si="1"/>
        <v>43.484999999999999</v>
      </c>
      <c r="P7" s="7"/>
      <c r="R7" s="51" t="s">
        <v>81</v>
      </c>
      <c r="S7" s="55" t="s">
        <v>21</v>
      </c>
      <c r="T7" s="56" t="str">
        <f>D7</f>
        <v>911 Dispatcher</v>
      </c>
      <c r="U7" s="57" cm="1">
        <f t="array" aca="1" ref="U7" ca="1">ROUND(IF($R7="Y",VLOOKUP($S7,INDIRECT($S$2),U$5,0)*INDIRECT($R$1),VLOOKUP($S7,INDIRECT($S$2),U$5,0)),3)</f>
        <v>31.978000000000002</v>
      </c>
      <c r="V7" s="57" cm="1">
        <f t="array" aca="1" ref="V7" ca="1">ROUND(IF($R7="Y",VLOOKUP($S7,INDIRECT($S$2),V$5,0)*INDIRECT($R$1),VLOOKUP($S7,INDIRECT($S$2),V$5,0)),3)</f>
        <v>33.648000000000003</v>
      </c>
      <c r="W7" s="57" cm="1">
        <f t="array" aca="1" ref="W7" ca="1">ROUND(IF($R7="Y",VLOOKUP($S7,INDIRECT($S$2),W$5,0)*INDIRECT($R$1),VLOOKUP($S7,INDIRECT($S$2),W$5,0)),3)</f>
        <v>35.412999999999997</v>
      </c>
      <c r="X7" s="57" cm="1">
        <f t="array" aca="1" ref="X7" ca="1">ROUND(IF($R7="Y",VLOOKUP($S7,INDIRECT($S$2),X$5,0)*INDIRECT($R$1),VLOOKUP($S7,INDIRECT($S$2),X$5,0)),3)</f>
        <v>37.273000000000003</v>
      </c>
      <c r="Y7" s="57" cm="1">
        <f t="array" aca="1" ref="Y7" ca="1">ROUND(IF($R7="Y",VLOOKUP($S7,INDIRECT($S$2),Y$5,0)*INDIRECT($R$1),VLOOKUP($S7,INDIRECT($S$2),Y$5,0)),3)</f>
        <v>39.247</v>
      </c>
      <c r="Z7" s="57" cm="1">
        <f t="array" aca="1" ref="Z7" ca="1">ROUND(IF($R7="Y",VLOOKUP($S7,INDIRECT($S$2),Z$5,0)*INDIRECT($R$1),VLOOKUP($S7,INDIRECT($S$2),Z$5,0)),3)</f>
        <v>41.317</v>
      </c>
      <c r="AA7" s="57" cm="1">
        <f t="array" aca="1" ref="AA7" ca="1">ROUND(IF($R7="Y",VLOOKUP($S7,INDIRECT($S$2),AA$5,0)*INDIRECT($R$1),VLOOKUP($S7,INDIRECT($S$2),AA$5,0)),3)</f>
        <v>43.484999999999999</v>
      </c>
      <c r="AB7" s="87" t="str">
        <f>S7</f>
        <v>00011C</v>
      </c>
      <c r="AC7" s="87" t="str">
        <f>T7</f>
        <v>911 Dispatcher</v>
      </c>
      <c r="AD7" s="96" t="str">
        <f>F7</f>
        <v>02</v>
      </c>
      <c r="AE7" s="91">
        <f ca="1">ROUND(U7,3)</f>
        <v>31.978000000000002</v>
      </c>
      <c r="AF7" s="91">
        <f t="shared" ref="AF7:AK7" ca="1" si="2">ROUND(V7,3)</f>
        <v>33.648000000000003</v>
      </c>
      <c r="AG7" s="91">
        <f t="shared" ca="1" si="2"/>
        <v>35.412999999999997</v>
      </c>
      <c r="AH7" s="91">
        <f t="shared" ca="1" si="2"/>
        <v>37.273000000000003</v>
      </c>
      <c r="AI7" s="91">
        <f t="shared" ca="1" si="2"/>
        <v>39.247</v>
      </c>
      <c r="AJ7" s="91">
        <f t="shared" ca="1" si="2"/>
        <v>41.317</v>
      </c>
      <c r="AK7" s="91">
        <f t="shared" ca="1" si="2"/>
        <v>43.484999999999999</v>
      </c>
    </row>
    <row r="8" spans="1:37" s="2" customFormat="1">
      <c r="A8" s="4" t="s">
        <v>113</v>
      </c>
      <c r="B8" s="4" t="s">
        <v>19</v>
      </c>
      <c r="C8" s="4">
        <v>2</v>
      </c>
      <c r="D8" s="7" t="s">
        <v>115</v>
      </c>
      <c r="E8" s="4">
        <v>343</v>
      </c>
      <c r="F8" s="46" t="s">
        <v>132</v>
      </c>
      <c r="G8" s="4">
        <v>7</v>
      </c>
      <c r="H8" s="4" t="s">
        <v>20</v>
      </c>
      <c r="I8" s="14">
        <f ca="1">U8</f>
        <v>30.510999999999999</v>
      </c>
      <c r="J8" s="14">
        <f t="shared" ca="1" si="1"/>
        <v>32.122</v>
      </c>
      <c r="K8" s="14">
        <f t="shared" ca="1" si="1"/>
        <v>33.814</v>
      </c>
      <c r="L8" s="14">
        <f t="shared" ca="1" si="1"/>
        <v>35.588000000000001</v>
      </c>
      <c r="M8" s="14">
        <f t="shared" ca="1" si="1"/>
        <v>37.463000000000001</v>
      </c>
      <c r="N8" s="14">
        <f t="shared" ca="1" si="1"/>
        <v>39.433</v>
      </c>
      <c r="O8" s="14">
        <f t="shared" ca="1" si="1"/>
        <v>41.503999999999998</v>
      </c>
      <c r="P8" s="7"/>
      <c r="R8" s="51" t="s">
        <v>81</v>
      </c>
      <c r="S8" s="55" t="s">
        <v>113</v>
      </c>
      <c r="T8" s="56" t="str">
        <f>D8</f>
        <v>911 Call Taker</v>
      </c>
      <c r="U8" s="57" cm="1">
        <f t="array" aca="1" ref="U8" ca="1">ROUND(IF($R8="Y",VLOOKUP($S8,INDIRECT($S$2),U$5,0)*INDIRECT($R$1),VLOOKUP($S8,INDIRECT($S$2),U$5,0)),3)</f>
        <v>30.510999999999999</v>
      </c>
      <c r="V8" s="57" cm="1">
        <f t="array" aca="1" ref="V8" ca="1">ROUND(IF($R8="Y",VLOOKUP($S8,INDIRECT($S$2),V$5,0)*INDIRECT($R$1),VLOOKUP($S8,INDIRECT($S$2),V$5,0)),3)</f>
        <v>32.122</v>
      </c>
      <c r="W8" s="57" cm="1">
        <f t="array" aca="1" ref="W8" ca="1">ROUND(IF($R8="Y",VLOOKUP($S8,INDIRECT($S$2),W$5,0)*INDIRECT($R$1),VLOOKUP($S8,INDIRECT($S$2),W$5,0)),3)</f>
        <v>33.814</v>
      </c>
      <c r="X8" s="57" cm="1">
        <f t="array" aca="1" ref="X8" ca="1">ROUND(IF($R8="Y",VLOOKUP($S8,INDIRECT($S$2),X$5,0)*INDIRECT($R$1),VLOOKUP($S8,INDIRECT($S$2),X$5,0)),3)</f>
        <v>35.588000000000001</v>
      </c>
      <c r="Y8" s="57" cm="1">
        <f t="array" aca="1" ref="Y8" ca="1">ROUND(IF($R8="Y",VLOOKUP($S8,INDIRECT($S$2),Y$5,0)*INDIRECT($R$1),VLOOKUP($S8,INDIRECT($S$2),Y$5,0)),3)</f>
        <v>37.463000000000001</v>
      </c>
      <c r="Z8" s="57" cm="1">
        <f t="array" aca="1" ref="Z8" ca="1">ROUND(IF($R8="Y",VLOOKUP($S8,INDIRECT($S$2),Z$5,0)*INDIRECT($R$1),VLOOKUP($S8,INDIRECT($S$2),Z$5,0)),3)</f>
        <v>39.433</v>
      </c>
      <c r="AA8" s="57" cm="1">
        <f t="array" aca="1" ref="AA8" ca="1">ROUND(IF($R8="Y",VLOOKUP($S8,INDIRECT($S$2),AA$5,0)*INDIRECT($R$1),VLOOKUP($S8,INDIRECT($S$2),AA$5,0)),3)</f>
        <v>41.503999999999998</v>
      </c>
      <c r="AB8" s="87" t="str">
        <f>S8</f>
        <v>00020C</v>
      </c>
      <c r="AC8" s="87" t="str">
        <f>T8</f>
        <v>911 Call Taker</v>
      </c>
      <c r="AD8" s="96" t="str">
        <f>F8</f>
        <v>01</v>
      </c>
      <c r="AE8" s="91">
        <f ca="1">ROUND(U8,3)</f>
        <v>30.510999999999999</v>
      </c>
      <c r="AF8" s="91">
        <f t="shared" ref="AF8" ca="1" si="3">ROUND(V8,3)</f>
        <v>32.122</v>
      </c>
      <c r="AG8" s="91">
        <f t="shared" ref="AG8" ca="1" si="4">ROUND(W8,3)</f>
        <v>33.814</v>
      </c>
      <c r="AH8" s="91">
        <f t="shared" ref="AH8" ca="1" si="5">ROUND(X8,3)</f>
        <v>35.588000000000001</v>
      </c>
      <c r="AI8" s="91">
        <f t="shared" ref="AI8" ca="1" si="6">ROUND(Y8,3)</f>
        <v>37.463000000000001</v>
      </c>
      <c r="AJ8" s="91">
        <f t="shared" ref="AJ8" ca="1" si="7">ROUND(Z8,3)</f>
        <v>39.433</v>
      </c>
      <c r="AK8" s="91">
        <f t="shared" ref="AK8" ca="1" si="8">ROUND(AA8,3)</f>
        <v>41.503999999999998</v>
      </c>
    </row>
    <row r="9" spans="1:37" s="7" customFormat="1" ht="16.149999999999999" thickBot="1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R9" s="58"/>
      <c r="S9" s="58"/>
      <c r="T9" s="58"/>
      <c r="U9" s="59"/>
      <c r="V9" s="59"/>
      <c r="W9" s="59"/>
      <c r="X9" s="59"/>
      <c r="Y9" s="59"/>
      <c r="Z9" s="59"/>
      <c r="AA9" s="59"/>
      <c r="AB9" s="92"/>
      <c r="AC9" s="92"/>
      <c r="AD9" s="92"/>
      <c r="AE9" s="92"/>
      <c r="AF9" s="92"/>
      <c r="AG9" s="92"/>
      <c r="AH9" s="92"/>
      <c r="AI9" s="92"/>
      <c r="AJ9" s="92"/>
      <c r="AK9" s="92"/>
    </row>
    <row r="10" spans="1:37" s="2" customFormat="1">
      <c r="A10" s="81" t="s">
        <v>56</v>
      </c>
      <c r="B10" s="4"/>
      <c r="C10" s="4"/>
      <c r="E10" s="4"/>
      <c r="F10" s="4"/>
      <c r="G10" s="4"/>
      <c r="H10" s="4"/>
      <c r="I10" s="4"/>
      <c r="J10" s="4"/>
      <c r="K10" s="4"/>
      <c r="L10" s="4"/>
      <c r="P10" s="7"/>
      <c r="R10" s="51"/>
      <c r="S10" s="51"/>
      <c r="T10" s="51"/>
      <c r="U10" s="57"/>
      <c r="V10" s="57"/>
      <c r="W10" s="57"/>
      <c r="X10" s="57"/>
      <c r="Y10" s="57"/>
      <c r="Z10" s="57"/>
      <c r="AA10" s="57"/>
      <c r="AB10" s="87"/>
      <c r="AC10" s="87"/>
      <c r="AD10" s="87"/>
      <c r="AE10" s="87"/>
      <c r="AF10" s="87"/>
      <c r="AG10" s="87"/>
      <c r="AH10" s="87"/>
      <c r="AI10" s="87"/>
      <c r="AJ10" s="87"/>
      <c r="AK10" s="87"/>
    </row>
    <row r="11" spans="1:37" s="2" customFormat="1">
      <c r="A11" s="2" t="str">
        <f ca="1">"In addition to their base rate of pay, employees shall be paid "&amp;TEXT(U11,"$0.000")&amp; " per hour for all hours worked on any shift that begins"</f>
        <v>In addition to their base rate of pay, employees shall be paid $0.601 per hour for all hours worked on any shift that begins</v>
      </c>
      <c r="B11" s="4"/>
      <c r="C11" s="4"/>
      <c r="E11" s="4"/>
      <c r="F11" s="4"/>
      <c r="G11" s="4"/>
      <c r="I11" s="36"/>
      <c r="J11" s="3"/>
      <c r="K11" s="3"/>
      <c r="L11" s="3"/>
      <c r="M11" s="3"/>
      <c r="N11" s="3"/>
      <c r="P11" s="7"/>
      <c r="R11" s="51" t="s">
        <v>81</v>
      </c>
      <c r="S11" s="60" t="s">
        <v>82</v>
      </c>
      <c r="T11" s="60" t="s">
        <v>83</v>
      </c>
      <c r="U11" s="57" cm="1">
        <f t="array" aca="1" ref="U11" ca="1">ROUND(IF($R11="Y",VLOOKUP($S11,INDIRECT($S$2),U$5,0)*INDIRECT($R$1),VLOOKUP($S11,INDIRECT($S$2),U$5,0)),3)</f>
        <v>0.60099999999999998</v>
      </c>
      <c r="V11" s="57"/>
      <c r="W11" s="57"/>
      <c r="X11" s="61"/>
      <c r="Y11" s="57"/>
      <c r="Z11" s="57"/>
      <c r="AA11" s="57"/>
      <c r="AB11" s="87" t="str">
        <f>S11</f>
        <v>CMNEVE</v>
      </c>
      <c r="AC11" s="87" t="str">
        <f>T11</f>
        <v>TL-Evening Shift Premium-CMN</v>
      </c>
      <c r="AD11" s="91">
        <f ca="1">U11</f>
        <v>0.60099999999999998</v>
      </c>
      <c r="AE11" s="87"/>
      <c r="AF11" s="87"/>
      <c r="AG11" s="87"/>
      <c r="AH11" s="87"/>
      <c r="AI11" s="87"/>
      <c r="AJ11" s="87"/>
      <c r="AK11" s="87"/>
    </row>
    <row r="12" spans="1:37" s="2" customFormat="1">
      <c r="A12" s="2" t="s">
        <v>53</v>
      </c>
      <c r="P12" s="7"/>
      <c r="R12" s="51"/>
      <c r="S12" s="51"/>
      <c r="T12" s="51"/>
      <c r="U12" s="57"/>
      <c r="V12" s="57"/>
      <c r="W12" s="57"/>
      <c r="X12" s="57"/>
      <c r="Y12" s="57"/>
      <c r="Z12" s="57"/>
      <c r="AA12" s="57"/>
      <c r="AB12" s="87"/>
      <c r="AC12" s="87"/>
      <c r="AD12" s="91"/>
      <c r="AE12" s="87"/>
      <c r="AF12" s="87"/>
      <c r="AG12" s="87"/>
      <c r="AH12" s="87"/>
      <c r="AI12" s="87"/>
      <c r="AJ12" s="87"/>
      <c r="AK12" s="87"/>
    </row>
    <row r="13" spans="1:37" s="2" customFormat="1">
      <c r="P13" s="7"/>
      <c r="R13" s="51"/>
      <c r="S13" s="51"/>
      <c r="T13" s="51"/>
      <c r="U13" s="57"/>
      <c r="V13" s="57"/>
      <c r="W13" s="57"/>
      <c r="X13" s="57"/>
      <c r="Y13" s="57"/>
      <c r="Z13" s="57"/>
      <c r="AA13" s="57"/>
      <c r="AB13" s="87"/>
      <c r="AC13" s="87"/>
      <c r="AD13" s="91"/>
      <c r="AE13" s="87"/>
      <c r="AF13" s="87"/>
      <c r="AG13" s="87"/>
      <c r="AH13" s="87"/>
      <c r="AI13" s="87"/>
      <c r="AJ13" s="87"/>
      <c r="AK13" s="87"/>
    </row>
    <row r="14" spans="1:37" s="2" customFormat="1">
      <c r="A14" s="2" t="str">
        <f ca="1">"In addition to their base rate of pay, employees shall be paid "&amp;TEXT(U14,"$0.000")&amp;" per hour for all hours worked on any shift that begins"</f>
        <v>In addition to their base rate of pay, employees shall be paid $1.429 per hour for all hours worked on any shift that begins</v>
      </c>
      <c r="I14" s="36"/>
      <c r="P14" s="7"/>
      <c r="R14" s="51" t="s">
        <v>81</v>
      </c>
      <c r="S14" s="60" t="s">
        <v>84</v>
      </c>
      <c r="T14" s="60" t="s">
        <v>85</v>
      </c>
      <c r="U14" s="57" cm="1">
        <f t="array" aca="1" ref="U14" ca="1">ROUND(IF($R14="Y",VLOOKUP($S14,INDIRECT($S$2),U$5,0)*INDIRECT($R$1),VLOOKUP($S14,INDIRECT($S$2),U$5,0)),3)</f>
        <v>1.429</v>
      </c>
      <c r="V14" s="57"/>
      <c r="W14" s="57"/>
      <c r="X14" s="57"/>
      <c r="Y14" s="57"/>
      <c r="Z14" s="57"/>
      <c r="AA14" s="57"/>
      <c r="AB14" s="87" t="str">
        <f t="shared" ref="AB14" si="9">S14</f>
        <v>CMNNIT</v>
      </c>
      <c r="AC14" s="87" t="str">
        <f t="shared" ref="AC14" si="10">T14</f>
        <v>TL-Night Shift Premium-CMN</v>
      </c>
      <c r="AD14" s="91">
        <f t="shared" ref="AD14" ca="1" si="11">U14</f>
        <v>1.429</v>
      </c>
      <c r="AE14" s="87"/>
      <c r="AF14" s="87"/>
      <c r="AG14" s="87"/>
      <c r="AH14" s="87"/>
      <c r="AI14" s="87"/>
      <c r="AJ14" s="87"/>
      <c r="AK14" s="87"/>
    </row>
    <row r="15" spans="1:37" s="2" customFormat="1">
      <c r="A15" s="2" t="s">
        <v>95</v>
      </c>
      <c r="B15" s="4"/>
      <c r="C15" s="4"/>
      <c r="E15" s="4"/>
      <c r="F15" s="4"/>
      <c r="G15" s="4"/>
      <c r="H15" s="4"/>
      <c r="I15" s="4"/>
      <c r="J15" s="4"/>
      <c r="K15" s="4"/>
      <c r="L15" s="4"/>
      <c r="P15" s="7"/>
      <c r="R15" s="51"/>
      <c r="S15" s="51"/>
      <c r="T15" s="51"/>
      <c r="U15" s="57"/>
      <c r="V15" s="57"/>
      <c r="W15" s="57"/>
      <c r="X15" s="57"/>
      <c r="Y15" s="57"/>
      <c r="Z15" s="57"/>
      <c r="AA15" s="57"/>
      <c r="AB15" s="87"/>
      <c r="AC15" s="87"/>
      <c r="AD15" s="87"/>
      <c r="AE15" s="87"/>
      <c r="AF15" s="87"/>
      <c r="AG15" s="87"/>
      <c r="AH15" s="87"/>
      <c r="AI15" s="87"/>
      <c r="AJ15" s="87"/>
      <c r="AK15" s="87"/>
    </row>
    <row r="16" spans="1:37" s="2" customFormat="1">
      <c r="B16" s="4"/>
      <c r="C16" s="4"/>
      <c r="E16" s="4"/>
      <c r="F16" s="4"/>
      <c r="G16" s="4"/>
      <c r="H16" s="4"/>
      <c r="I16" s="4"/>
      <c r="J16" s="4"/>
      <c r="K16" s="4"/>
      <c r="L16" s="4"/>
      <c r="P16" s="7"/>
      <c r="R16" s="51"/>
      <c r="S16" s="70" t="s">
        <v>145</v>
      </c>
      <c r="T16" s="51"/>
      <c r="U16" s="57"/>
      <c r="V16" s="57"/>
      <c r="W16" s="57"/>
      <c r="X16" s="57"/>
      <c r="Y16" s="57"/>
      <c r="Z16" s="57"/>
      <c r="AA16" s="57"/>
      <c r="AB16" s="100" t="s">
        <v>145</v>
      </c>
      <c r="AC16" s="101"/>
      <c r="AD16" s="101"/>
      <c r="AE16" s="87"/>
      <c r="AF16" s="87"/>
      <c r="AG16" s="87"/>
      <c r="AH16" s="87"/>
      <c r="AI16" s="87"/>
      <c r="AJ16" s="87"/>
      <c r="AK16" s="87"/>
    </row>
    <row r="17" spans="1:37" s="2" customFormat="1">
      <c r="A17" s="2" t="s">
        <v>24</v>
      </c>
      <c r="P17" s="7"/>
      <c r="R17" s="51" t="s">
        <v>81</v>
      </c>
      <c r="S17" s="51" t="s">
        <v>137</v>
      </c>
      <c r="T17" s="99" t="s">
        <v>147</v>
      </c>
      <c r="U17" s="57" cm="1">
        <f t="array" aca="1" ref="U17" ca="1">ROUND(IF($R17="Y",VLOOKUP($S17,INDIRECT($S$2),U$5,0)*INDIRECT($R$1),VLOOKUP($S17,INDIRECT($S$2),U$5,0)),3)</f>
        <v>1.429</v>
      </c>
      <c r="V17" s="57"/>
      <c r="W17" s="57"/>
      <c r="X17" s="57"/>
      <c r="Y17" s="57"/>
      <c r="Z17" s="57"/>
      <c r="AA17" s="57"/>
      <c r="AB17" s="101" t="str">
        <f>S17</f>
        <v>NBF</v>
      </c>
      <c r="AC17" s="102" t="str">
        <f>T17</f>
        <v>Higher shift rate</v>
      </c>
      <c r="AD17" s="103">
        <f ca="1">U17</f>
        <v>1.429</v>
      </c>
      <c r="AE17" s="87"/>
      <c r="AF17" s="87"/>
      <c r="AG17" s="87"/>
      <c r="AH17" s="87"/>
      <c r="AI17" s="87"/>
      <c r="AJ17" s="87"/>
      <c r="AK17" s="87"/>
    </row>
    <row r="18" spans="1:37" s="2" customFormat="1">
      <c r="A18" s="2" t="s">
        <v>25</v>
      </c>
      <c r="P18" s="7"/>
      <c r="R18" s="51" t="s">
        <v>81</v>
      </c>
      <c r="S18" s="51" t="s">
        <v>138</v>
      </c>
      <c r="T18" s="51" t="s">
        <v>148</v>
      </c>
      <c r="U18" s="57">
        <f ca="1">U17</f>
        <v>1.429</v>
      </c>
      <c r="V18" s="57"/>
      <c r="W18" s="57"/>
      <c r="X18" s="57"/>
      <c r="Y18" s="57"/>
      <c r="Z18" s="57"/>
      <c r="AA18" s="57"/>
      <c r="AB18" s="101" t="str">
        <f t="shared" ref="AB18:AB22" si="12">S18</f>
        <v>NBT</v>
      </c>
      <c r="AC18" s="102" t="str">
        <f t="shared" ref="AC18:AC22" si="13">T18</f>
        <v>Higher shift rate x 1.5</v>
      </c>
      <c r="AD18" s="103">
        <f ca="1">U18</f>
        <v>1.429</v>
      </c>
      <c r="AE18" s="87"/>
      <c r="AF18" s="87"/>
      <c r="AG18" s="87"/>
      <c r="AH18" s="87"/>
      <c r="AI18" s="87"/>
      <c r="AJ18" s="87"/>
      <c r="AK18" s="87"/>
    </row>
    <row r="19" spans="1:37" s="2" customFormat="1">
      <c r="A19" s="2" t="s">
        <v>26</v>
      </c>
      <c r="P19" s="7"/>
      <c r="R19" s="51" t="s">
        <v>81</v>
      </c>
      <c r="S19" s="51" t="s">
        <v>139</v>
      </c>
      <c r="T19" s="51" t="s">
        <v>146</v>
      </c>
      <c r="U19" s="57">
        <f ca="1">U18</f>
        <v>1.429</v>
      </c>
      <c r="V19" s="57"/>
      <c r="W19" s="57"/>
      <c r="X19" s="57"/>
      <c r="Y19" s="57"/>
      <c r="Z19" s="57"/>
      <c r="AA19" s="57"/>
      <c r="AB19" s="101" t="str">
        <f t="shared" si="12"/>
        <v>NBG</v>
      </c>
      <c r="AC19" s="102" t="str">
        <f t="shared" si="13"/>
        <v>Higher shift rate x 2.0</v>
      </c>
      <c r="AD19" s="103">
        <f ca="1">U19</f>
        <v>1.429</v>
      </c>
      <c r="AE19" s="87"/>
      <c r="AF19" s="87"/>
      <c r="AG19" s="87"/>
      <c r="AH19" s="87"/>
      <c r="AI19" s="87"/>
      <c r="AJ19" s="87"/>
      <c r="AK19" s="87"/>
    </row>
    <row r="20" spans="1:3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51" t="s">
        <v>81</v>
      </c>
      <c r="S20" s="51" t="s">
        <v>134</v>
      </c>
      <c r="T20" s="51" t="s">
        <v>149</v>
      </c>
      <c r="U20" s="57" cm="1">
        <f t="array" aca="1" ref="U20" ca="1">ROUND(IF($R20="Y",VLOOKUP($S20,INDIRECT($S$2),U$5,0)*INDIRECT($R$1),VLOOKUP($S20,INDIRECT($S$2),U$5,0)),3)</f>
        <v>0.60099999999999998</v>
      </c>
      <c r="V20" s="57"/>
      <c r="W20" s="57"/>
      <c r="X20" s="57"/>
      <c r="Y20" s="57"/>
      <c r="Z20" s="57"/>
      <c r="AA20" s="57"/>
      <c r="AB20" s="101" t="str">
        <f t="shared" si="12"/>
        <v>NFF</v>
      </c>
      <c r="AC20" s="102" t="str">
        <f t="shared" si="13"/>
        <v>Lower shift rate</v>
      </c>
      <c r="AD20" s="103">
        <f ca="1">U20</f>
        <v>0.60099999999999998</v>
      </c>
      <c r="AE20" s="87"/>
      <c r="AF20" s="87"/>
      <c r="AG20" s="87"/>
      <c r="AH20" s="87"/>
      <c r="AI20" s="87"/>
      <c r="AJ20" s="87"/>
      <c r="AK20" s="87"/>
    </row>
    <row r="21" spans="1:37" s="2" customForma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51" t="s">
        <v>81</v>
      </c>
      <c r="S21" s="51" t="s">
        <v>135</v>
      </c>
      <c r="T21" s="51" t="s">
        <v>150</v>
      </c>
      <c r="U21" s="57">
        <f ca="1">U20</f>
        <v>0.60099999999999998</v>
      </c>
      <c r="V21" s="57"/>
      <c r="W21" s="57"/>
      <c r="X21" s="57"/>
      <c r="Y21" s="57"/>
      <c r="Z21" s="57"/>
      <c r="AA21" s="57"/>
      <c r="AB21" s="101" t="str">
        <f t="shared" si="12"/>
        <v>NFT</v>
      </c>
      <c r="AC21" s="102" t="str">
        <f t="shared" si="13"/>
        <v>Lower shift rate x 1.5</v>
      </c>
      <c r="AD21" s="103">
        <f ca="1">U21</f>
        <v>0.60099999999999998</v>
      </c>
      <c r="AE21" s="87"/>
      <c r="AF21" s="87"/>
      <c r="AG21" s="87"/>
      <c r="AH21" s="87"/>
      <c r="AI21" s="87"/>
      <c r="AJ21" s="87"/>
      <c r="AK21" s="87"/>
    </row>
    <row r="22" spans="1:3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51" t="s">
        <v>81</v>
      </c>
      <c r="S22" s="51" t="s">
        <v>136</v>
      </c>
      <c r="T22" s="51" t="s">
        <v>151</v>
      </c>
      <c r="U22" s="57">
        <f ca="1">U21</f>
        <v>0.60099999999999998</v>
      </c>
      <c r="V22" s="57"/>
      <c r="W22" s="57"/>
      <c r="X22" s="57"/>
      <c r="Y22" s="57"/>
      <c r="Z22" s="57"/>
      <c r="AA22" s="57"/>
      <c r="AB22" s="101" t="str">
        <f t="shared" si="12"/>
        <v>NFG</v>
      </c>
      <c r="AC22" s="102" t="str">
        <f t="shared" si="13"/>
        <v>Lower shift rate x 2.0</v>
      </c>
      <c r="AD22" s="103">
        <f ca="1">U22</f>
        <v>0.60099999999999998</v>
      </c>
      <c r="AE22" s="87"/>
      <c r="AF22" s="87"/>
      <c r="AG22" s="87"/>
      <c r="AH22" s="87"/>
      <c r="AI22" s="87"/>
      <c r="AJ22" s="87"/>
      <c r="AK22" s="87"/>
    </row>
    <row r="23" spans="1:37" s="2" customFormat="1">
      <c r="B23" s="1"/>
      <c r="C23" s="1"/>
      <c r="D23" s="7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51"/>
      <c r="S23" s="51"/>
      <c r="T23" s="51"/>
      <c r="U23" s="57"/>
      <c r="V23" s="57"/>
      <c r="W23" s="57"/>
      <c r="X23" s="57"/>
      <c r="Y23" s="57"/>
      <c r="Z23" s="57"/>
      <c r="AA23" s="57"/>
      <c r="AB23" s="87"/>
      <c r="AC23" s="87"/>
      <c r="AD23" s="87"/>
      <c r="AE23" s="87"/>
      <c r="AF23" s="87"/>
      <c r="AG23" s="87"/>
      <c r="AH23" s="87"/>
      <c r="AI23" s="87"/>
      <c r="AJ23" s="87"/>
      <c r="AK23" s="87"/>
    </row>
    <row r="24" spans="1:3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51"/>
      <c r="S24" s="51"/>
      <c r="T24" s="51"/>
      <c r="U24" s="57"/>
      <c r="V24" s="57"/>
      <c r="W24" s="57"/>
      <c r="X24" s="57"/>
      <c r="Y24" s="57"/>
      <c r="Z24" s="57"/>
      <c r="AA24" s="57"/>
      <c r="AB24" s="87"/>
      <c r="AC24" s="87"/>
      <c r="AD24" s="87"/>
      <c r="AE24" s="87"/>
      <c r="AF24" s="87"/>
      <c r="AG24" s="87"/>
      <c r="AH24" s="87"/>
      <c r="AI24" s="87"/>
      <c r="AJ24" s="87"/>
      <c r="AK24" s="87"/>
    </row>
    <row r="25" spans="1:3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51"/>
      <c r="S25" s="51"/>
      <c r="T25" s="51"/>
      <c r="U25" s="57"/>
      <c r="V25" s="57"/>
      <c r="W25" s="57"/>
      <c r="X25" s="57"/>
      <c r="Y25" s="57"/>
      <c r="Z25" s="57"/>
      <c r="AA25" s="5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1:37" s="2" customFormat="1">
      <c r="A26" s="86" t="s">
        <v>28</v>
      </c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7"/>
      <c r="N26" s="7"/>
      <c r="O26" s="7"/>
      <c r="P26" s="7"/>
      <c r="R26" s="51"/>
      <c r="S26" s="51"/>
      <c r="T26" s="51"/>
      <c r="U26" s="57"/>
      <c r="V26" s="57"/>
      <c r="W26" s="57"/>
      <c r="X26" s="57"/>
      <c r="Y26" s="57"/>
      <c r="Z26" s="57"/>
      <c r="AA26" s="57"/>
      <c r="AB26" s="87"/>
      <c r="AC26" s="87"/>
      <c r="AD26" s="87"/>
      <c r="AE26" s="87"/>
      <c r="AF26" s="87"/>
      <c r="AG26" s="87"/>
      <c r="AH26" s="87"/>
      <c r="AI26" s="87"/>
      <c r="AJ26" s="87"/>
      <c r="AK26" s="87"/>
    </row>
    <row r="27" spans="1:37" s="2" customFormat="1">
      <c r="A27" s="2" t="s">
        <v>29</v>
      </c>
      <c r="J27" s="4"/>
      <c r="K27" s="4"/>
      <c r="L27" s="4"/>
      <c r="P27" s="7"/>
      <c r="R27" s="51"/>
      <c r="S27" s="70" t="s">
        <v>93</v>
      </c>
      <c r="T27" s="51"/>
      <c r="U27" s="57"/>
      <c r="V27" s="57"/>
      <c r="W27" s="57"/>
      <c r="X27" s="57"/>
      <c r="Y27" s="57"/>
      <c r="Z27" s="57"/>
      <c r="AA27" s="57"/>
      <c r="AB27" s="98" t="s">
        <v>93</v>
      </c>
      <c r="AC27" s="87"/>
      <c r="AD27" s="87"/>
      <c r="AE27" s="87"/>
      <c r="AF27" s="87"/>
      <c r="AG27" s="87"/>
      <c r="AH27" s="87"/>
      <c r="AI27" s="87"/>
      <c r="AJ27" s="87"/>
      <c r="AK27" s="87"/>
    </row>
    <row r="28" spans="1:37" s="2" customFormat="1">
      <c r="A28" s="24">
        <f ca="1">U28</f>
        <v>0.48799999999999999</v>
      </c>
      <c r="B28" s="2" t="s">
        <v>30</v>
      </c>
      <c r="J28" s="4"/>
      <c r="K28" s="4"/>
      <c r="L28" s="4"/>
      <c r="P28" s="7"/>
      <c r="R28" s="51" t="s">
        <v>81</v>
      </c>
      <c r="S28" s="51" t="s">
        <v>86</v>
      </c>
      <c r="T28" s="51"/>
      <c r="U28" s="57" cm="1">
        <f t="array" aca="1" ref="U28" ca="1">ROUND(IF($R28="Y",VLOOKUP($S28,INDIRECT($S$2),U$5,0)*INDIRECT($R$1),VLOOKUP($S28,INDIRECT($S$2),U$5,0)),3)</f>
        <v>0.48799999999999999</v>
      </c>
      <c r="V28" s="57"/>
      <c r="W28" s="57"/>
      <c r="X28" s="57"/>
      <c r="Y28" s="57"/>
      <c r="Z28" s="57"/>
      <c r="AA28" s="57"/>
      <c r="AB28" s="87" t="str">
        <f>S28</f>
        <v>10th Year</v>
      </c>
      <c r="AC28" s="87"/>
      <c r="AD28" s="91">
        <f ca="1">U28</f>
        <v>0.48799999999999999</v>
      </c>
      <c r="AE28" s="87"/>
      <c r="AF28" s="87"/>
      <c r="AG28" s="87"/>
      <c r="AH28" s="87"/>
      <c r="AI28" s="87"/>
      <c r="AJ28" s="87"/>
      <c r="AK28" s="87"/>
    </row>
    <row r="29" spans="1:37" s="2" customFormat="1">
      <c r="A29" s="24">
        <f ca="1">U29</f>
        <v>0.628</v>
      </c>
      <c r="B29" s="2" t="s">
        <v>31</v>
      </c>
      <c r="J29" s="4"/>
      <c r="K29" s="4"/>
      <c r="L29" s="4"/>
      <c r="P29" s="7"/>
      <c r="R29" s="51" t="s">
        <v>81</v>
      </c>
      <c r="S29" s="51" t="s">
        <v>87</v>
      </c>
      <c r="T29" s="51"/>
      <c r="U29" s="57" cm="1">
        <f t="array" aca="1" ref="U29" ca="1">ROUND(IF($R29="Y",VLOOKUP($S29,INDIRECT($S$2),U$5,0)*INDIRECT($R$1),VLOOKUP($S29,INDIRECT($S$2),U$5,0)),3)</f>
        <v>0.628</v>
      </c>
      <c r="V29" s="57"/>
      <c r="W29" s="57"/>
      <c r="X29" s="57"/>
      <c r="Y29" s="57"/>
      <c r="Z29" s="57"/>
      <c r="AA29" s="57"/>
      <c r="AB29" s="87" t="str">
        <f t="shared" ref="AB29:AB31" si="14">S29</f>
        <v>15th Year</v>
      </c>
      <c r="AC29" s="87"/>
      <c r="AD29" s="91">
        <f t="shared" ref="AD29:AD31" ca="1" si="15">U29</f>
        <v>0.628</v>
      </c>
      <c r="AE29" s="87"/>
      <c r="AF29" s="87"/>
      <c r="AG29" s="87"/>
      <c r="AH29" s="87"/>
      <c r="AI29" s="87"/>
      <c r="AJ29" s="87"/>
      <c r="AK29" s="87"/>
    </row>
    <row r="30" spans="1:37" s="2" customFormat="1">
      <c r="A30" s="24">
        <f ca="1">U30</f>
        <v>0.77</v>
      </c>
      <c r="B30" s="2" t="s">
        <v>32</v>
      </c>
      <c r="J30" s="4"/>
      <c r="K30" s="4"/>
      <c r="L30" s="4"/>
      <c r="P30" s="7"/>
      <c r="R30" s="51" t="s">
        <v>81</v>
      </c>
      <c r="S30" s="51" t="s">
        <v>88</v>
      </c>
      <c r="T30" s="51"/>
      <c r="U30" s="57" cm="1">
        <f t="array" aca="1" ref="U30" ca="1">ROUND(IF($R30="Y",VLOOKUP($S30,INDIRECT($S$2),U$5,0)*INDIRECT($R$1),VLOOKUP($S30,INDIRECT($S$2),U$5,0)),3)</f>
        <v>0.77</v>
      </c>
      <c r="V30" s="57"/>
      <c r="W30" s="57"/>
      <c r="X30" s="57"/>
      <c r="Y30" s="57"/>
      <c r="Z30" s="57"/>
      <c r="AA30" s="57"/>
      <c r="AB30" s="87" t="str">
        <f t="shared" si="14"/>
        <v>20th Year</v>
      </c>
      <c r="AC30" s="87"/>
      <c r="AD30" s="91">
        <f t="shared" ca="1" si="15"/>
        <v>0.77</v>
      </c>
      <c r="AE30" s="87"/>
      <c r="AF30" s="87"/>
      <c r="AG30" s="87"/>
      <c r="AH30" s="87"/>
      <c r="AI30" s="87"/>
      <c r="AJ30" s="87"/>
      <c r="AK30" s="87"/>
    </row>
    <row r="31" spans="1:37" s="2" customFormat="1">
      <c r="A31" s="24">
        <f ca="1">U31</f>
        <v>0.91100000000000003</v>
      </c>
      <c r="B31" s="2" t="s">
        <v>33</v>
      </c>
      <c r="J31" s="4"/>
      <c r="K31" s="4"/>
      <c r="L31" s="4"/>
      <c r="P31" s="7"/>
      <c r="R31" s="51" t="s">
        <v>81</v>
      </c>
      <c r="S31" s="51" t="s">
        <v>89</v>
      </c>
      <c r="T31" s="51"/>
      <c r="U31" s="57" cm="1">
        <f t="array" aca="1" ref="U31" ca="1">ROUND(IF($R31="Y",VLOOKUP($S31,INDIRECT($S$2),U$5,0)*INDIRECT($R$1),VLOOKUP($S31,INDIRECT($S$2),U$5,0)),3)</f>
        <v>0.91100000000000003</v>
      </c>
      <c r="V31" s="57"/>
      <c r="W31" s="57"/>
      <c r="X31" s="57"/>
      <c r="Y31" s="57"/>
      <c r="Z31" s="57"/>
      <c r="AA31" s="57"/>
      <c r="AB31" s="87" t="str">
        <f t="shared" si="14"/>
        <v>25th Year</v>
      </c>
      <c r="AC31" s="87"/>
      <c r="AD31" s="91">
        <f t="shared" ca="1" si="15"/>
        <v>0.91100000000000003</v>
      </c>
      <c r="AE31" s="87"/>
      <c r="AF31" s="87"/>
      <c r="AG31" s="87"/>
      <c r="AH31" s="87"/>
      <c r="AI31" s="87"/>
      <c r="AJ31" s="87"/>
      <c r="AK31" s="87"/>
    </row>
    <row r="32" spans="1:37" s="2" customFormat="1">
      <c r="A32" s="1"/>
      <c r="B32" s="1"/>
      <c r="C32" s="1"/>
      <c r="D32" s="7"/>
      <c r="E32" s="1"/>
      <c r="F32" s="1"/>
      <c r="G32" s="1"/>
      <c r="H32" s="1"/>
      <c r="I32" s="1"/>
      <c r="J32" s="1"/>
      <c r="K32" s="1"/>
      <c r="L32" s="1"/>
      <c r="M32" s="7"/>
      <c r="N32" s="7"/>
      <c r="O32" s="1"/>
      <c r="P32" s="1"/>
      <c r="R32" s="51"/>
      <c r="S32" s="51"/>
      <c r="T32" s="51"/>
      <c r="U32" s="57"/>
      <c r="V32" s="57"/>
      <c r="W32" s="57"/>
      <c r="X32" s="57"/>
      <c r="Y32" s="57"/>
      <c r="Z32" s="57"/>
      <c r="AA32" s="57"/>
      <c r="AB32" s="87"/>
      <c r="AC32" s="87"/>
      <c r="AD32" s="87"/>
      <c r="AE32" s="87"/>
      <c r="AF32" s="87"/>
      <c r="AG32" s="87"/>
      <c r="AH32" s="87"/>
      <c r="AI32" s="87"/>
      <c r="AJ32" s="87"/>
      <c r="AK32" s="87"/>
    </row>
    <row r="33" spans="1:37" s="26" customFormat="1">
      <c r="A33" s="25" t="s">
        <v>35</v>
      </c>
      <c r="E33" s="27"/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63"/>
      <c r="S33" s="63"/>
      <c r="T33" s="63"/>
      <c r="U33" s="64"/>
      <c r="V33" s="64"/>
      <c r="W33" s="64"/>
      <c r="X33" s="64"/>
      <c r="Y33" s="64"/>
      <c r="Z33" s="64"/>
      <c r="AA33" s="64"/>
      <c r="AB33" s="94"/>
      <c r="AC33" s="94"/>
      <c r="AD33" s="94"/>
      <c r="AE33" s="94"/>
      <c r="AF33" s="94"/>
      <c r="AG33" s="94"/>
      <c r="AH33" s="94"/>
      <c r="AI33" s="94"/>
      <c r="AJ33" s="94"/>
      <c r="AK33" s="94"/>
    </row>
    <row r="34" spans="1:37" s="2" customFormat="1">
      <c r="A34" s="37" t="s">
        <v>57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51"/>
      <c r="S34" s="51"/>
      <c r="T34" s="51"/>
      <c r="U34" s="57"/>
      <c r="V34" s="57"/>
      <c r="W34" s="57"/>
      <c r="X34" s="57"/>
      <c r="Y34" s="57"/>
      <c r="Z34" s="57"/>
      <c r="AA34" s="57"/>
      <c r="AB34" s="87"/>
      <c r="AC34" s="87"/>
      <c r="AD34" s="87"/>
      <c r="AE34" s="87"/>
      <c r="AF34" s="87"/>
      <c r="AG34" s="87"/>
      <c r="AH34" s="87"/>
      <c r="AI34" s="87"/>
      <c r="AJ34" s="87"/>
      <c r="AK34" s="87"/>
    </row>
    <row r="35" spans="1:37" s="2" customFormat="1">
      <c r="A35" s="2" t="str">
        <f ca="1">"Dispatcher's hourly top-step rate of pay. Coaching/Training Premium = "&amp;TEXT(U35,"$0.000")&amp;" per hour assigned and coaching/training."</f>
        <v>Dispatcher's hourly top-step rate of pay. Coaching/Training Premium = $8.697 per hour assigned and coaching/training.</v>
      </c>
      <c r="G35" s="4"/>
      <c r="J35" s="34"/>
      <c r="K35" s="3"/>
      <c r="M35" s="4"/>
      <c r="N35" s="4"/>
      <c r="O35" s="4"/>
      <c r="P35" s="1"/>
      <c r="R35" s="51" t="s">
        <v>81</v>
      </c>
      <c r="S35" s="51" t="s">
        <v>140</v>
      </c>
      <c r="T35" s="51" t="s">
        <v>35</v>
      </c>
      <c r="U35" s="57">
        <f ca="1">AA7*0.2</f>
        <v>8.697000000000001</v>
      </c>
      <c r="V35" s="57"/>
      <c r="W35" s="68" t="s">
        <v>96</v>
      </c>
      <c r="X35" s="57"/>
      <c r="Y35" s="57"/>
      <c r="Z35" s="57"/>
      <c r="AA35" s="57"/>
      <c r="AB35" s="87" t="str">
        <f t="shared" ref="AB35" si="16">S35</f>
        <v>COA</v>
      </c>
      <c r="AC35" s="87" t="str">
        <f t="shared" ref="AC35" si="17">T35</f>
        <v>Coaching/Training Premium</v>
      </c>
      <c r="AD35" s="91">
        <f t="shared" ref="AD35" ca="1" si="18">U35</f>
        <v>8.697000000000001</v>
      </c>
      <c r="AE35" s="87"/>
      <c r="AF35" s="87"/>
      <c r="AG35" s="87"/>
      <c r="AH35" s="87"/>
      <c r="AI35" s="87"/>
      <c r="AJ35" s="87"/>
      <c r="AK35" s="87"/>
    </row>
    <row r="36" spans="1:37" s="2" customFormat="1">
      <c r="A36" s="3"/>
      <c r="E36" s="4"/>
      <c r="F36" s="4"/>
      <c r="G36" s="4"/>
      <c r="H36" s="4"/>
      <c r="J36" s="32"/>
      <c r="K36" s="3"/>
      <c r="L36" s="4"/>
      <c r="M36" s="4"/>
      <c r="N36" s="4"/>
      <c r="O36" s="4"/>
      <c r="P36" s="1"/>
      <c r="R36" s="51"/>
      <c r="S36" s="51"/>
      <c r="T36" s="51"/>
      <c r="U36" s="57"/>
      <c r="V36" s="57"/>
      <c r="W36" s="57"/>
      <c r="X36" s="57"/>
      <c r="Y36" s="57"/>
      <c r="Z36" s="57"/>
      <c r="AA36" s="5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pans="1:37" s="2" customFormat="1">
      <c r="A37" s="25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51"/>
      <c r="S37" s="51"/>
      <c r="T37" s="51"/>
      <c r="U37" s="57"/>
      <c r="V37" s="57"/>
      <c r="W37" s="57"/>
      <c r="X37" s="57"/>
      <c r="Y37" s="57"/>
      <c r="Z37" s="57"/>
      <c r="AA37" s="57"/>
      <c r="AB37" s="87"/>
      <c r="AC37" s="87"/>
      <c r="AD37" s="87"/>
      <c r="AE37" s="87"/>
      <c r="AF37" s="87"/>
      <c r="AG37" s="87"/>
      <c r="AH37" s="87"/>
      <c r="AI37" s="87"/>
      <c r="AJ37" s="87"/>
      <c r="AK37" s="87"/>
    </row>
    <row r="38" spans="1:37" s="2" customFormat="1">
      <c r="A38" s="40" t="s">
        <v>62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51"/>
      <c r="S38" s="51"/>
      <c r="T38" s="51"/>
      <c r="U38" s="57"/>
      <c r="V38" s="57"/>
      <c r="W38" s="57"/>
      <c r="X38" s="57"/>
      <c r="Y38" s="57"/>
      <c r="Z38" s="57"/>
      <c r="AA38" s="57"/>
      <c r="AB38" s="87"/>
      <c r="AC38" s="87"/>
      <c r="AD38" s="87"/>
      <c r="AE38" s="87"/>
      <c r="AF38" s="87"/>
      <c r="AG38" s="87"/>
      <c r="AH38" s="87"/>
      <c r="AI38" s="87"/>
      <c r="AJ38" s="87"/>
      <c r="AK38" s="87"/>
    </row>
    <row r="39" spans="1:37" s="2" customFormat="1">
      <c r="A39" s="2" t="s">
        <v>63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51"/>
      <c r="S39" s="51"/>
      <c r="T39" s="51"/>
      <c r="U39" s="57"/>
      <c r="V39" s="57"/>
      <c r="W39" s="57"/>
      <c r="X39" s="57"/>
      <c r="Y39" s="57"/>
      <c r="Z39" s="57"/>
      <c r="AA39" s="57"/>
      <c r="AB39" s="87"/>
      <c r="AC39" s="87"/>
      <c r="AD39" s="87"/>
      <c r="AE39" s="87"/>
      <c r="AF39" s="87"/>
      <c r="AG39" s="87"/>
      <c r="AH39" s="87"/>
      <c r="AI39" s="87"/>
      <c r="AJ39" s="87"/>
      <c r="AK39" s="87"/>
    </row>
    <row r="40" spans="1:37" s="2" customFormat="1">
      <c r="I40" s="73" t="s">
        <v>60</v>
      </c>
      <c r="J40" s="12" t="s">
        <v>71</v>
      </c>
      <c r="K40" s="12" t="s">
        <v>72</v>
      </c>
      <c r="L40" s="12" t="s">
        <v>73</v>
      </c>
      <c r="M40" s="12" t="s">
        <v>74</v>
      </c>
      <c r="N40" s="12" t="s">
        <v>75</v>
      </c>
      <c r="O40" s="12" t="s">
        <v>76</v>
      </c>
      <c r="P40" s="12" t="s">
        <v>77</v>
      </c>
      <c r="R40" s="51"/>
      <c r="S40" s="66"/>
      <c r="T40" s="66"/>
      <c r="U40" s="66"/>
      <c r="V40" s="61"/>
      <c r="W40" s="69" t="s">
        <v>98</v>
      </c>
      <c r="X40" s="66"/>
      <c r="Y40" s="66"/>
      <c r="Z40" s="51"/>
      <c r="AA40" s="51"/>
      <c r="AB40" s="87"/>
      <c r="AC40" s="87"/>
      <c r="AD40" s="87"/>
      <c r="AE40" s="87"/>
      <c r="AF40" s="87"/>
      <c r="AG40" s="87"/>
      <c r="AH40" s="87"/>
      <c r="AI40" s="87"/>
      <c r="AJ40" s="87"/>
      <c r="AK40" s="87"/>
    </row>
    <row r="41" spans="1:37">
      <c r="I41" s="74" t="s">
        <v>61</v>
      </c>
      <c r="J41" s="14">
        <f ca="1">ROUND(HLOOKUP(J40,$I$6:$O$7,2)*1.5,3)</f>
        <v>47.966999999999999</v>
      </c>
      <c r="K41" s="14">
        <f t="shared" ref="K41:P41" ca="1" si="19">ROUND(HLOOKUP(K40,$I$6:$O$7,2)*1.5,3)</f>
        <v>50.472000000000001</v>
      </c>
      <c r="L41" s="14">
        <f t="shared" ca="1" si="19"/>
        <v>53.12</v>
      </c>
      <c r="M41" s="14">
        <f t="shared" ca="1" si="19"/>
        <v>55.91</v>
      </c>
      <c r="N41" s="14">
        <f t="shared" ca="1" si="19"/>
        <v>58.871000000000002</v>
      </c>
      <c r="O41" s="14">
        <f t="shared" ca="1" si="19"/>
        <v>61.975999999999999</v>
      </c>
      <c r="P41" s="14">
        <f t="shared" ca="1" si="19"/>
        <v>65.227999999999994</v>
      </c>
      <c r="S41" s="67"/>
      <c r="T41" s="67"/>
      <c r="U41" s="67"/>
      <c r="V41" s="67"/>
      <c r="W41" s="67"/>
      <c r="X41" s="67"/>
      <c r="Y41" s="67"/>
    </row>
  </sheetData>
  <mergeCells count="1">
    <mergeCell ref="A1:O1"/>
  </mergeCells>
  <pageMargins left="0.25" right="0.25" top="0.5" bottom="0.25" header="0.5" footer="0.5"/>
  <pageSetup scale="49" orientation="landscape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293A-78D2-4CC7-A30A-8C596BBB13BF}">
  <sheetPr>
    <pageSetUpPr fitToPage="1"/>
  </sheetPr>
  <dimension ref="A1:AK41"/>
  <sheetViews>
    <sheetView showGridLines="0" topLeftCell="N6" zoomScaleNormal="100" workbookViewId="0">
      <selection activeCell="U36" sqref="U36"/>
    </sheetView>
  </sheetViews>
  <sheetFormatPr defaultColWidth="9.1328125" defaultRowHeight="15.75"/>
  <cols>
    <col min="1" max="1" width="10.73046875" style="29" customWidth="1"/>
    <col min="2" max="2" width="6.73046875" style="29" customWidth="1"/>
    <col min="3" max="3" width="4.86328125" style="29" bestFit="1" customWidth="1"/>
    <col min="4" max="4" width="18.73046875" style="29" bestFit="1" customWidth="1"/>
    <col min="5" max="5" width="4.59765625" style="29" bestFit="1" customWidth="1"/>
    <col min="6" max="6" width="7" style="29" bestFit="1" customWidth="1"/>
    <col min="7" max="7" width="6.86328125" style="29" bestFit="1" customWidth="1"/>
    <col min="8" max="8" width="5.73046875" style="29" bestFit="1" customWidth="1"/>
    <col min="9" max="9" width="8.59765625" style="29" customWidth="1"/>
    <col min="10" max="15" width="8.59765625" style="29" bestFit="1" customWidth="1"/>
    <col min="16" max="16" width="8.3984375" style="29" bestFit="1" customWidth="1"/>
    <col min="17" max="17" width="9.1328125" style="29"/>
    <col min="18" max="18" width="12.265625" style="51" bestFit="1" customWidth="1"/>
    <col min="19" max="19" width="15.73046875" style="51" bestFit="1" customWidth="1"/>
    <col min="20" max="20" width="27.59765625" style="51" bestFit="1" customWidth="1"/>
    <col min="21" max="22" width="8.3984375" style="57" bestFit="1" customWidth="1"/>
    <col min="23" max="23" width="23.73046875" style="57" bestFit="1" customWidth="1"/>
    <col min="24" max="27" width="8.3984375" style="57" bestFit="1" customWidth="1"/>
    <col min="28" max="28" width="15.73046875" style="87" bestFit="1" customWidth="1"/>
    <col min="29" max="29" width="30.59765625" style="87" bestFit="1" customWidth="1"/>
    <col min="30" max="30" width="7.265625" style="87" bestFit="1" customWidth="1"/>
    <col min="31" max="37" width="8.3984375" style="87" bestFit="1" customWidth="1"/>
    <col min="38" max="16384" width="9.1328125" style="29"/>
  </cols>
  <sheetData>
    <row r="1" spans="1:3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51" t="s">
        <v>129</v>
      </c>
      <c r="S1" s="84">
        <v>1.0249999999999999</v>
      </c>
      <c r="T1" s="51"/>
      <c r="U1" s="57"/>
      <c r="V1" s="57"/>
      <c r="W1" s="57"/>
      <c r="X1" s="57"/>
      <c r="Y1" s="57"/>
      <c r="Z1" s="57"/>
      <c r="AA1" s="5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37" s="2" customFormat="1">
      <c r="C2" s="3"/>
      <c r="D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51" t="s">
        <v>119</v>
      </c>
      <c r="S2" s="55" t="s">
        <v>127</v>
      </c>
      <c r="T2" s="51"/>
      <c r="U2" s="57"/>
      <c r="V2" s="57"/>
      <c r="W2" s="57"/>
      <c r="X2" s="57"/>
      <c r="Y2" s="57"/>
      <c r="Z2" s="57"/>
      <c r="AA2" s="5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37" s="2" customFormat="1">
      <c r="A3" s="2" t="s">
        <v>152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51"/>
      <c r="S3" s="51"/>
      <c r="T3" s="51"/>
      <c r="U3" s="57"/>
      <c r="V3" s="57"/>
      <c r="W3" s="57"/>
      <c r="X3" s="57"/>
      <c r="Y3" s="57"/>
      <c r="Z3" s="57"/>
      <c r="AA3" s="57"/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37" s="2" customFormat="1" ht="15" customHeight="1">
      <c r="A4" s="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51"/>
      <c r="S4" s="51"/>
      <c r="T4" s="51"/>
      <c r="U4" s="57"/>
      <c r="V4" s="57"/>
      <c r="W4" s="57"/>
      <c r="X4" s="57"/>
      <c r="Y4" s="57"/>
      <c r="Z4" s="57"/>
      <c r="AA4" s="57"/>
      <c r="AB4" s="95" t="s">
        <v>133</v>
      </c>
      <c r="AC4" s="87"/>
      <c r="AD4" s="87"/>
      <c r="AE4" s="87"/>
      <c r="AF4" s="87"/>
      <c r="AG4" s="87"/>
      <c r="AH4" s="87"/>
      <c r="AI4" s="87"/>
      <c r="AJ4" s="87"/>
      <c r="AK4" s="87"/>
    </row>
    <row r="5" spans="1:37" s="2" customFormat="1" ht="15" customHeight="1">
      <c r="A5" s="81"/>
      <c r="B5" s="3"/>
      <c r="C5" s="4"/>
      <c r="D5" s="81"/>
      <c r="E5" s="81"/>
      <c r="F5" s="85"/>
      <c r="G5" s="9"/>
      <c r="H5" s="9"/>
      <c r="I5" s="10"/>
      <c r="J5" s="9"/>
      <c r="K5" s="9"/>
      <c r="L5" s="9"/>
      <c r="M5" s="9"/>
      <c r="N5" s="9"/>
      <c r="O5" s="4"/>
      <c r="P5" s="7"/>
      <c r="R5" s="51"/>
      <c r="S5" s="51"/>
      <c r="T5" s="51"/>
      <c r="U5" s="82">
        <v>3</v>
      </c>
      <c r="V5" s="82">
        <f>U5+1</f>
        <v>4</v>
      </c>
      <c r="W5" s="82">
        <f t="shared" ref="W5:AA5" si="0">V5+1</f>
        <v>5</v>
      </c>
      <c r="X5" s="82">
        <f t="shared" si="0"/>
        <v>6</v>
      </c>
      <c r="Y5" s="82">
        <f t="shared" si="0"/>
        <v>7</v>
      </c>
      <c r="Z5" s="82">
        <f t="shared" si="0"/>
        <v>8</v>
      </c>
      <c r="AA5" s="82">
        <f t="shared" si="0"/>
        <v>9</v>
      </c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37" s="2" customFormat="1" ht="31.5" customHeight="1">
      <c r="A6" s="45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68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51" t="s">
        <v>80</v>
      </c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  <c r="AB6" s="88" t="s">
        <v>78</v>
      </c>
      <c r="AC6" s="89" t="s">
        <v>14</v>
      </c>
      <c r="AD6" s="88" t="s">
        <v>68</v>
      </c>
      <c r="AE6" s="90" t="s">
        <v>71</v>
      </c>
      <c r="AF6" s="90" t="s">
        <v>72</v>
      </c>
      <c r="AG6" s="90" t="s">
        <v>73</v>
      </c>
      <c r="AH6" s="90" t="s">
        <v>74</v>
      </c>
      <c r="AI6" s="90" t="s">
        <v>75</v>
      </c>
      <c r="AJ6" s="90" t="s">
        <v>76</v>
      </c>
      <c r="AK6" s="90" t="s">
        <v>77</v>
      </c>
    </row>
    <row r="7" spans="1:37" s="2" customFormat="1">
      <c r="A7" s="4" t="s">
        <v>21</v>
      </c>
      <c r="B7" s="4" t="s">
        <v>19</v>
      </c>
      <c r="C7" s="4">
        <v>2</v>
      </c>
      <c r="D7" s="7" t="s">
        <v>22</v>
      </c>
      <c r="E7" s="4">
        <v>363</v>
      </c>
      <c r="F7" s="46" t="s">
        <v>69</v>
      </c>
      <c r="G7" s="4">
        <v>8</v>
      </c>
      <c r="H7" s="4" t="s">
        <v>20</v>
      </c>
      <c r="I7" s="14">
        <f ca="1">U7</f>
        <v>32.777000000000001</v>
      </c>
      <c r="J7" s="14">
        <f t="shared" ref="J7:O8" ca="1" si="1">V7</f>
        <v>34.488999999999997</v>
      </c>
      <c r="K7" s="14">
        <f t="shared" ca="1" si="1"/>
        <v>36.298000000000002</v>
      </c>
      <c r="L7" s="14">
        <f t="shared" ca="1" si="1"/>
        <v>38.204999999999998</v>
      </c>
      <c r="M7" s="14">
        <f t="shared" ca="1" si="1"/>
        <v>40.228000000000002</v>
      </c>
      <c r="N7" s="14">
        <f t="shared" ca="1" si="1"/>
        <v>42.35</v>
      </c>
      <c r="O7" s="14">
        <f t="shared" ca="1" si="1"/>
        <v>44.572000000000003</v>
      </c>
      <c r="P7" s="7"/>
      <c r="R7" s="51" t="s">
        <v>81</v>
      </c>
      <c r="S7" s="55" t="s">
        <v>21</v>
      </c>
      <c r="T7" s="56" t="str">
        <f>D7</f>
        <v>911 Dispatcher</v>
      </c>
      <c r="U7" s="57" cm="1">
        <f t="array" aca="1" ref="U7" ca="1">ROUND(IF($R7="Y",VLOOKUP($S7,INDIRECT($S$2),U$5,0)*INDIRECT($R$1),VLOOKUP($S7,INDIRECT($S$2),U$5,0)),3)</f>
        <v>32.777000000000001</v>
      </c>
      <c r="V7" s="57" cm="1">
        <f t="array" aca="1" ref="V7" ca="1">ROUND(IF($R7="Y",VLOOKUP($S7,INDIRECT($S$2),V$5,0)*INDIRECT($R$1),VLOOKUP($S7,INDIRECT($S$2),V$5,0)),3)</f>
        <v>34.488999999999997</v>
      </c>
      <c r="W7" s="57" cm="1">
        <f t="array" aca="1" ref="W7" ca="1">ROUND(IF($R7="Y",VLOOKUP($S7,INDIRECT($S$2),W$5,0)*INDIRECT($R$1),VLOOKUP($S7,INDIRECT($S$2),W$5,0)),3)</f>
        <v>36.298000000000002</v>
      </c>
      <c r="X7" s="57" cm="1">
        <f t="array" aca="1" ref="X7" ca="1">ROUND(IF($R7="Y",VLOOKUP($S7,INDIRECT($S$2),X$5,0)*INDIRECT($R$1),VLOOKUP($S7,INDIRECT($S$2),X$5,0)),3)</f>
        <v>38.204999999999998</v>
      </c>
      <c r="Y7" s="57" cm="1">
        <f t="array" aca="1" ref="Y7" ca="1">ROUND(IF($R7="Y",VLOOKUP($S7,INDIRECT($S$2),Y$5,0)*INDIRECT($R$1),VLOOKUP($S7,INDIRECT($S$2),Y$5,0)),3)</f>
        <v>40.228000000000002</v>
      </c>
      <c r="Z7" s="57" cm="1">
        <f t="array" aca="1" ref="Z7" ca="1">ROUND(IF($R7="Y",VLOOKUP($S7,INDIRECT($S$2),Z$5,0)*INDIRECT($R$1),VLOOKUP($S7,INDIRECT($S$2),Z$5,0)),3)</f>
        <v>42.35</v>
      </c>
      <c r="AA7" s="57" cm="1">
        <f t="array" aca="1" ref="AA7" ca="1">ROUND(IF($R7="Y",VLOOKUP($S7,INDIRECT($S$2),AA$5,0)*INDIRECT($R$1),VLOOKUP($S7,INDIRECT($S$2),AA$5,0)),3)</f>
        <v>44.572000000000003</v>
      </c>
      <c r="AB7" s="87" t="str">
        <f>S7</f>
        <v>00011C</v>
      </c>
      <c r="AC7" s="87" t="str">
        <f>T7</f>
        <v>911 Dispatcher</v>
      </c>
      <c r="AD7" s="96" t="str">
        <f>F7</f>
        <v>02</v>
      </c>
      <c r="AE7" s="91">
        <f ca="1">ROUND(U7,3)</f>
        <v>32.777000000000001</v>
      </c>
      <c r="AF7" s="91">
        <f t="shared" ref="AF7:AK7" ca="1" si="2">ROUND(V7,3)</f>
        <v>34.488999999999997</v>
      </c>
      <c r="AG7" s="91">
        <f t="shared" ca="1" si="2"/>
        <v>36.298000000000002</v>
      </c>
      <c r="AH7" s="91">
        <f t="shared" ca="1" si="2"/>
        <v>38.204999999999998</v>
      </c>
      <c r="AI7" s="91">
        <f t="shared" ca="1" si="2"/>
        <v>40.228000000000002</v>
      </c>
      <c r="AJ7" s="91">
        <f t="shared" ca="1" si="2"/>
        <v>42.35</v>
      </c>
      <c r="AK7" s="91">
        <f t="shared" ca="1" si="2"/>
        <v>44.572000000000003</v>
      </c>
    </row>
    <row r="8" spans="1:37" s="2" customFormat="1">
      <c r="A8" s="4" t="s">
        <v>113</v>
      </c>
      <c r="B8" s="4" t="s">
        <v>19</v>
      </c>
      <c r="C8" s="4">
        <v>2</v>
      </c>
      <c r="D8" s="7" t="s">
        <v>115</v>
      </c>
      <c r="E8" s="4">
        <v>343</v>
      </c>
      <c r="F8" s="46" t="s">
        <v>132</v>
      </c>
      <c r="G8" s="4">
        <v>7</v>
      </c>
      <c r="H8" s="4" t="s">
        <v>20</v>
      </c>
      <c r="I8" s="14">
        <f ca="1">U8</f>
        <v>31.274000000000001</v>
      </c>
      <c r="J8" s="14">
        <f t="shared" ca="1" si="1"/>
        <v>32.924999999999997</v>
      </c>
      <c r="K8" s="14">
        <f t="shared" ca="1" si="1"/>
        <v>34.658999999999999</v>
      </c>
      <c r="L8" s="14">
        <f t="shared" ca="1" si="1"/>
        <v>36.478000000000002</v>
      </c>
      <c r="M8" s="14">
        <f t="shared" ca="1" si="1"/>
        <v>38.4</v>
      </c>
      <c r="N8" s="14">
        <f t="shared" ca="1" si="1"/>
        <v>40.418999999999997</v>
      </c>
      <c r="O8" s="14">
        <f t="shared" ca="1" si="1"/>
        <v>42.542000000000002</v>
      </c>
      <c r="P8" s="7"/>
      <c r="R8" s="51" t="s">
        <v>81</v>
      </c>
      <c r="S8" s="55" t="s">
        <v>113</v>
      </c>
      <c r="T8" s="56" t="str">
        <f>D8</f>
        <v>911 Call Taker</v>
      </c>
      <c r="U8" s="57" cm="1">
        <f t="array" aca="1" ref="U8" ca="1">ROUND(IF($R8="Y",VLOOKUP($S8,INDIRECT($S$2),U$5,0)*INDIRECT($R$1),VLOOKUP($S8,INDIRECT($S$2),U$5,0)),3)</f>
        <v>31.274000000000001</v>
      </c>
      <c r="V8" s="57" cm="1">
        <f t="array" aca="1" ref="V8" ca="1">ROUND(IF($R8="Y",VLOOKUP($S8,INDIRECT($S$2),V$5,0)*INDIRECT($R$1),VLOOKUP($S8,INDIRECT($S$2),V$5,0)),3)</f>
        <v>32.924999999999997</v>
      </c>
      <c r="W8" s="57" cm="1">
        <f t="array" aca="1" ref="W8" ca="1">ROUND(IF($R8="Y",VLOOKUP($S8,INDIRECT($S$2),W$5,0)*INDIRECT($R$1),VLOOKUP($S8,INDIRECT($S$2),W$5,0)),3)</f>
        <v>34.658999999999999</v>
      </c>
      <c r="X8" s="57" cm="1">
        <f t="array" aca="1" ref="X8" ca="1">ROUND(IF($R8="Y",VLOOKUP($S8,INDIRECT($S$2),X$5,0)*INDIRECT($R$1),VLOOKUP($S8,INDIRECT($S$2),X$5,0)),3)</f>
        <v>36.478000000000002</v>
      </c>
      <c r="Y8" s="57" cm="1">
        <f t="array" aca="1" ref="Y8" ca="1">ROUND(IF($R8="Y",VLOOKUP($S8,INDIRECT($S$2),Y$5,0)*INDIRECT($R$1),VLOOKUP($S8,INDIRECT($S$2),Y$5,0)),3)</f>
        <v>38.4</v>
      </c>
      <c r="Z8" s="57" cm="1">
        <f t="array" aca="1" ref="Z8" ca="1">ROUND(IF($R8="Y",VLOOKUP($S8,INDIRECT($S$2),Z$5,0)*INDIRECT($R$1),VLOOKUP($S8,INDIRECT($S$2),Z$5,0)),3)</f>
        <v>40.418999999999997</v>
      </c>
      <c r="AA8" s="57" cm="1">
        <f t="array" aca="1" ref="AA8" ca="1">ROUND(IF($R8="Y",VLOOKUP($S8,INDIRECT($S$2),AA$5,0)*INDIRECT($R$1),VLOOKUP($S8,INDIRECT($S$2),AA$5,0)),3)</f>
        <v>42.542000000000002</v>
      </c>
      <c r="AB8" s="87" t="str">
        <f>S8</f>
        <v>00020C</v>
      </c>
      <c r="AC8" s="87" t="str">
        <f>T8</f>
        <v>911 Call Taker</v>
      </c>
      <c r="AD8" s="96" t="str">
        <f>F8</f>
        <v>01</v>
      </c>
      <c r="AE8" s="91">
        <f ca="1">ROUND(U8,3)</f>
        <v>31.274000000000001</v>
      </c>
      <c r="AF8" s="91">
        <f t="shared" ref="AF8" ca="1" si="3">ROUND(V8,3)</f>
        <v>32.924999999999997</v>
      </c>
      <c r="AG8" s="91">
        <f t="shared" ref="AG8" ca="1" si="4">ROUND(W8,3)</f>
        <v>34.658999999999999</v>
      </c>
      <c r="AH8" s="91">
        <f t="shared" ref="AH8" ca="1" si="5">ROUND(X8,3)</f>
        <v>36.478000000000002</v>
      </c>
      <c r="AI8" s="91">
        <f t="shared" ref="AI8" ca="1" si="6">ROUND(Y8,3)</f>
        <v>38.4</v>
      </c>
      <c r="AJ8" s="91">
        <f t="shared" ref="AJ8" ca="1" si="7">ROUND(Z8,3)</f>
        <v>40.418999999999997</v>
      </c>
      <c r="AK8" s="91">
        <f t="shared" ref="AK8" ca="1" si="8">ROUND(AA8,3)</f>
        <v>42.542000000000002</v>
      </c>
    </row>
    <row r="9" spans="1:37" s="7" customFormat="1" ht="16.149999999999999" thickBot="1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R9" s="58"/>
      <c r="S9" s="58"/>
      <c r="T9" s="58"/>
      <c r="U9" s="59"/>
      <c r="V9" s="59"/>
      <c r="W9" s="59"/>
      <c r="X9" s="59"/>
      <c r="Y9" s="59"/>
      <c r="Z9" s="59"/>
      <c r="AA9" s="59"/>
      <c r="AB9" s="92"/>
      <c r="AC9" s="92"/>
      <c r="AD9" s="92"/>
      <c r="AE9" s="92"/>
      <c r="AF9" s="92"/>
      <c r="AG9" s="92"/>
      <c r="AH9" s="92"/>
      <c r="AI9" s="92"/>
      <c r="AJ9" s="92"/>
      <c r="AK9" s="92"/>
    </row>
    <row r="10" spans="1:37" s="2" customFormat="1">
      <c r="A10" s="81" t="s">
        <v>56</v>
      </c>
      <c r="B10" s="4"/>
      <c r="C10" s="4"/>
      <c r="E10" s="4"/>
      <c r="F10" s="4"/>
      <c r="G10" s="4"/>
      <c r="H10" s="4"/>
      <c r="I10" s="4"/>
      <c r="J10" s="4"/>
      <c r="K10" s="4"/>
      <c r="L10" s="4"/>
      <c r="P10" s="7"/>
      <c r="R10" s="51"/>
      <c r="S10" s="51"/>
      <c r="T10" s="51"/>
      <c r="U10" s="57"/>
      <c r="V10" s="57"/>
      <c r="W10" s="57"/>
      <c r="X10" s="57"/>
      <c r="Y10" s="57"/>
      <c r="Z10" s="57"/>
      <c r="AA10" s="57"/>
      <c r="AB10" s="87"/>
      <c r="AC10" s="87"/>
      <c r="AD10" s="87"/>
      <c r="AE10" s="87"/>
      <c r="AF10" s="87"/>
      <c r="AG10" s="87"/>
      <c r="AH10" s="87"/>
      <c r="AI10" s="87"/>
      <c r="AJ10" s="87"/>
      <c r="AK10" s="87"/>
    </row>
    <row r="11" spans="1:37" s="2" customFormat="1">
      <c r="A11" s="2" t="str">
        <f ca="1">"In addition to their base rate of pay, employees shall be paid "&amp;TEXT(U11,"$0.000")&amp; " per hour for all hours worked on any shift that begins"</f>
        <v>In addition to their base rate of pay, employees shall be paid $0.616 per hour for all hours worked on any shift that begins</v>
      </c>
      <c r="B11" s="4"/>
      <c r="C11" s="4"/>
      <c r="E11" s="4"/>
      <c r="F11" s="4"/>
      <c r="G11" s="4"/>
      <c r="I11" s="36"/>
      <c r="J11" s="3"/>
      <c r="K11" s="3"/>
      <c r="L11" s="3"/>
      <c r="M11" s="3"/>
      <c r="N11" s="3"/>
      <c r="P11" s="7"/>
      <c r="R11" s="51" t="s">
        <v>81</v>
      </c>
      <c r="S11" s="60" t="s">
        <v>82</v>
      </c>
      <c r="T11" s="60" t="s">
        <v>83</v>
      </c>
      <c r="U11" s="57" cm="1">
        <f t="array" aca="1" ref="U11" ca="1">ROUND(IF($R11="Y",VLOOKUP($S11,INDIRECT($S$2),U$5,0)*INDIRECT($R$1),VLOOKUP($S11,INDIRECT($S$2),U$5,0)),3)</f>
        <v>0.61599999999999999</v>
      </c>
      <c r="V11" s="57"/>
      <c r="W11" s="57"/>
      <c r="X11" s="61"/>
      <c r="Y11" s="57"/>
      <c r="Z11" s="57"/>
      <c r="AA11" s="57"/>
      <c r="AB11" s="87" t="str">
        <f>S11</f>
        <v>CMNEVE</v>
      </c>
      <c r="AC11" s="87" t="str">
        <f>T11</f>
        <v>TL-Evening Shift Premium-CMN</v>
      </c>
      <c r="AD11" s="91">
        <f ca="1">U11</f>
        <v>0.61599999999999999</v>
      </c>
      <c r="AE11" s="87"/>
      <c r="AF11" s="87"/>
      <c r="AG11" s="87"/>
      <c r="AH11" s="87"/>
      <c r="AI11" s="87"/>
      <c r="AJ11" s="87"/>
      <c r="AK11" s="87"/>
    </row>
    <row r="12" spans="1:37" s="2" customFormat="1">
      <c r="A12" s="2" t="s">
        <v>53</v>
      </c>
      <c r="P12" s="7"/>
      <c r="R12" s="51"/>
      <c r="S12" s="51"/>
      <c r="T12" s="51"/>
      <c r="U12" s="57"/>
      <c r="V12" s="57"/>
      <c r="W12" s="57"/>
      <c r="X12" s="57"/>
      <c r="Y12" s="57"/>
      <c r="Z12" s="57"/>
      <c r="AA12" s="57"/>
      <c r="AB12" s="87"/>
      <c r="AC12" s="87"/>
      <c r="AD12" s="91"/>
      <c r="AE12" s="87"/>
      <c r="AF12" s="87"/>
      <c r="AG12" s="87"/>
      <c r="AH12" s="87"/>
      <c r="AI12" s="87"/>
      <c r="AJ12" s="87"/>
      <c r="AK12" s="87"/>
    </row>
    <row r="13" spans="1:37" s="2" customFormat="1">
      <c r="P13" s="7"/>
      <c r="R13" s="51"/>
      <c r="S13" s="51"/>
      <c r="T13" s="51"/>
      <c r="U13" s="57"/>
      <c r="V13" s="57"/>
      <c r="W13" s="57"/>
      <c r="X13" s="57"/>
      <c r="Y13" s="57"/>
      <c r="Z13" s="57"/>
      <c r="AA13" s="57"/>
      <c r="AB13" s="87"/>
      <c r="AC13" s="87"/>
      <c r="AD13" s="91"/>
      <c r="AE13" s="87"/>
      <c r="AF13" s="87"/>
      <c r="AG13" s="87"/>
      <c r="AH13" s="87"/>
      <c r="AI13" s="87"/>
      <c r="AJ13" s="87"/>
      <c r="AK13" s="87"/>
    </row>
    <row r="14" spans="1:37" s="2" customFormat="1">
      <c r="A14" s="2" t="str">
        <f ca="1">"In addition to their base rate of pay, employees shall be paid "&amp;TEXT(U14,"$0.000")&amp;" per hour for all hours worked on any shift that begins"</f>
        <v>In addition to their base rate of pay, employees shall be paid $1.465 per hour for all hours worked on any shift that begins</v>
      </c>
      <c r="I14" s="36"/>
      <c r="P14" s="7"/>
      <c r="R14" s="51" t="s">
        <v>81</v>
      </c>
      <c r="S14" s="60" t="s">
        <v>84</v>
      </c>
      <c r="T14" s="60" t="s">
        <v>85</v>
      </c>
      <c r="U14" s="57" cm="1">
        <f t="array" aca="1" ref="U14" ca="1">ROUND(IF($R14="Y",VLOOKUP($S14,INDIRECT($S$2),U$5,0)*INDIRECT($R$1),VLOOKUP($S14,INDIRECT($S$2),U$5,0)),3)</f>
        <v>1.4650000000000001</v>
      </c>
      <c r="V14" s="57"/>
      <c r="W14" s="57"/>
      <c r="X14" s="57"/>
      <c r="Y14" s="57"/>
      <c r="Z14" s="57"/>
      <c r="AA14" s="57"/>
      <c r="AB14" s="87" t="str">
        <f t="shared" ref="AB14" si="9">S14</f>
        <v>CMNNIT</v>
      </c>
      <c r="AC14" s="87" t="str">
        <f t="shared" ref="AC14" si="10">T14</f>
        <v>TL-Night Shift Premium-CMN</v>
      </c>
      <c r="AD14" s="91">
        <f t="shared" ref="AD14" ca="1" si="11">U14</f>
        <v>1.4650000000000001</v>
      </c>
      <c r="AE14" s="87"/>
      <c r="AF14" s="87"/>
      <c r="AG14" s="87"/>
      <c r="AH14" s="87"/>
      <c r="AI14" s="87"/>
      <c r="AJ14" s="87"/>
      <c r="AK14" s="87"/>
    </row>
    <row r="15" spans="1:37" s="2" customFormat="1">
      <c r="A15" s="2" t="s">
        <v>95</v>
      </c>
      <c r="B15" s="4"/>
      <c r="C15" s="4"/>
      <c r="E15" s="4"/>
      <c r="F15" s="4"/>
      <c r="G15" s="4"/>
      <c r="H15" s="4"/>
      <c r="I15" s="4"/>
      <c r="J15" s="4"/>
      <c r="K15" s="4"/>
      <c r="L15" s="4"/>
      <c r="P15" s="7"/>
      <c r="R15" s="51"/>
      <c r="S15" s="51"/>
      <c r="T15" s="51"/>
      <c r="U15" s="57"/>
      <c r="V15" s="57"/>
      <c r="W15" s="57"/>
      <c r="X15" s="57"/>
      <c r="Y15" s="57"/>
      <c r="Z15" s="57"/>
      <c r="AA15" s="57"/>
      <c r="AB15" s="87"/>
      <c r="AC15" s="87"/>
      <c r="AD15" s="87"/>
      <c r="AE15" s="87"/>
      <c r="AF15" s="87"/>
      <c r="AG15" s="87"/>
      <c r="AH15" s="87"/>
      <c r="AI15" s="87"/>
      <c r="AJ15" s="87"/>
      <c r="AK15" s="87"/>
    </row>
    <row r="16" spans="1:37" s="2" customFormat="1">
      <c r="B16" s="4"/>
      <c r="C16" s="4"/>
      <c r="E16" s="4"/>
      <c r="F16" s="4"/>
      <c r="G16" s="4"/>
      <c r="H16" s="4"/>
      <c r="I16" s="4"/>
      <c r="J16" s="4"/>
      <c r="K16" s="4"/>
      <c r="L16" s="4"/>
      <c r="P16" s="7"/>
      <c r="R16" s="51"/>
      <c r="S16" s="70" t="s">
        <v>145</v>
      </c>
      <c r="T16" s="51"/>
      <c r="U16" s="57"/>
      <c r="V16" s="57"/>
      <c r="W16" s="57"/>
      <c r="X16" s="57"/>
      <c r="Y16" s="57"/>
      <c r="Z16" s="57"/>
      <c r="AA16" s="57"/>
      <c r="AB16" s="100" t="s">
        <v>145</v>
      </c>
      <c r="AC16" s="101"/>
      <c r="AD16" s="101"/>
      <c r="AE16" s="87"/>
      <c r="AF16" s="87"/>
      <c r="AG16" s="87"/>
      <c r="AH16" s="87"/>
      <c r="AI16" s="87"/>
      <c r="AJ16" s="87"/>
      <c r="AK16" s="87"/>
    </row>
    <row r="17" spans="1:37" s="2" customFormat="1">
      <c r="A17" s="2" t="s">
        <v>24</v>
      </c>
      <c r="P17" s="7"/>
      <c r="R17" s="51" t="s">
        <v>81</v>
      </c>
      <c r="S17" s="51" t="s">
        <v>137</v>
      </c>
      <c r="T17" s="99" t="s">
        <v>147</v>
      </c>
      <c r="U17" s="57" cm="1">
        <f t="array" aca="1" ref="U17" ca="1">ROUND(IF($R17="Y",VLOOKUP($S17,INDIRECT($S$2),U$5,0)*INDIRECT($R$1),VLOOKUP($S17,INDIRECT($S$2),U$5,0)),3)</f>
        <v>1.4650000000000001</v>
      </c>
      <c r="V17" s="57"/>
      <c r="W17" s="57"/>
      <c r="X17" s="57"/>
      <c r="Y17" s="57"/>
      <c r="Z17" s="57"/>
      <c r="AA17" s="57"/>
      <c r="AB17" s="101" t="str">
        <f>S17</f>
        <v>NBF</v>
      </c>
      <c r="AC17" s="102" t="str">
        <f>T17</f>
        <v>Higher shift rate</v>
      </c>
      <c r="AD17" s="103">
        <f ca="1">U17</f>
        <v>1.4650000000000001</v>
      </c>
      <c r="AE17" s="87"/>
      <c r="AF17" s="87"/>
      <c r="AG17" s="87"/>
      <c r="AH17" s="87"/>
      <c r="AI17" s="87"/>
      <c r="AJ17" s="87"/>
      <c r="AK17" s="87"/>
    </row>
    <row r="18" spans="1:37" s="2" customFormat="1">
      <c r="A18" s="2" t="s">
        <v>25</v>
      </c>
      <c r="P18" s="7"/>
      <c r="R18" s="51" t="s">
        <v>81</v>
      </c>
      <c r="S18" s="51" t="s">
        <v>138</v>
      </c>
      <c r="T18" s="51" t="s">
        <v>148</v>
      </c>
      <c r="U18" s="57">
        <f ca="1">U17</f>
        <v>1.4650000000000001</v>
      </c>
      <c r="V18" s="57"/>
      <c r="W18" s="57"/>
      <c r="X18" s="57"/>
      <c r="Y18" s="57"/>
      <c r="Z18" s="57"/>
      <c r="AA18" s="57"/>
      <c r="AB18" s="101" t="str">
        <f t="shared" ref="AB18:AB22" si="12">S18</f>
        <v>NBT</v>
      </c>
      <c r="AC18" s="102" t="str">
        <f t="shared" ref="AC18:AC22" si="13">T18</f>
        <v>Higher shift rate x 1.5</v>
      </c>
      <c r="AD18" s="103">
        <f ca="1">U18</f>
        <v>1.4650000000000001</v>
      </c>
      <c r="AE18" s="87"/>
      <c r="AF18" s="87"/>
      <c r="AG18" s="87"/>
      <c r="AH18" s="87"/>
      <c r="AI18" s="87"/>
      <c r="AJ18" s="87"/>
      <c r="AK18" s="87"/>
    </row>
    <row r="19" spans="1:37" s="2" customFormat="1">
      <c r="A19" s="2" t="s">
        <v>26</v>
      </c>
      <c r="P19" s="7"/>
      <c r="R19" s="51" t="s">
        <v>81</v>
      </c>
      <c r="S19" s="51" t="s">
        <v>139</v>
      </c>
      <c r="T19" s="51" t="s">
        <v>146</v>
      </c>
      <c r="U19" s="57" cm="1">
        <f t="array" aca="1" ref="U19" ca="1">ROUND(IF($R19="Y",VLOOKUP($S19,INDIRECT($S$2),U$5,0)*INDIRECT($R$1),VLOOKUP($S19,INDIRECT($S$2),U$5,0)),3)</f>
        <v>1.4650000000000001</v>
      </c>
      <c r="V19" s="57"/>
      <c r="W19" s="57"/>
      <c r="X19" s="57"/>
      <c r="Y19" s="57"/>
      <c r="Z19" s="57"/>
      <c r="AA19" s="57"/>
      <c r="AB19" s="101" t="str">
        <f t="shared" si="12"/>
        <v>NBG</v>
      </c>
      <c r="AC19" s="102" t="str">
        <f t="shared" si="13"/>
        <v>Higher shift rate x 2.0</v>
      </c>
      <c r="AD19" s="103">
        <f ca="1">U19</f>
        <v>1.4650000000000001</v>
      </c>
      <c r="AE19" s="87"/>
      <c r="AF19" s="87"/>
      <c r="AG19" s="87"/>
      <c r="AH19" s="87"/>
      <c r="AI19" s="87"/>
      <c r="AJ19" s="87"/>
      <c r="AK19" s="87"/>
    </row>
    <row r="20" spans="1:3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51" t="s">
        <v>81</v>
      </c>
      <c r="S20" s="51" t="s">
        <v>134</v>
      </c>
      <c r="T20" s="51" t="s">
        <v>149</v>
      </c>
      <c r="U20" s="57" cm="1">
        <f t="array" aca="1" ref="U20" ca="1">ROUND(IF($R20="Y",VLOOKUP($S20,INDIRECT($S$2),U$5,0)*INDIRECT($R$1),VLOOKUP($S20,INDIRECT($S$2),U$5,0)),3)</f>
        <v>0.61599999999999999</v>
      </c>
      <c r="V20" s="57"/>
      <c r="W20" s="57"/>
      <c r="X20" s="57"/>
      <c r="Y20" s="57"/>
      <c r="Z20" s="57"/>
      <c r="AA20" s="57"/>
      <c r="AB20" s="101" t="str">
        <f t="shared" si="12"/>
        <v>NFF</v>
      </c>
      <c r="AC20" s="102" t="str">
        <f t="shared" si="13"/>
        <v>Lower shift rate</v>
      </c>
      <c r="AD20" s="103">
        <f ca="1">U20</f>
        <v>0.61599999999999999</v>
      </c>
      <c r="AE20" s="87"/>
      <c r="AF20" s="87"/>
      <c r="AG20" s="87"/>
      <c r="AH20" s="87"/>
      <c r="AI20" s="87"/>
      <c r="AJ20" s="87"/>
      <c r="AK20" s="87"/>
    </row>
    <row r="21" spans="1:37" s="2" customForma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51" t="s">
        <v>81</v>
      </c>
      <c r="S21" s="51" t="s">
        <v>135</v>
      </c>
      <c r="T21" s="51" t="s">
        <v>150</v>
      </c>
      <c r="U21" s="57">
        <f ca="1">U20</f>
        <v>0.61599999999999999</v>
      </c>
      <c r="V21" s="57"/>
      <c r="W21" s="57"/>
      <c r="X21" s="57"/>
      <c r="Y21" s="57"/>
      <c r="Z21" s="57"/>
      <c r="AA21" s="57"/>
      <c r="AB21" s="101" t="str">
        <f t="shared" si="12"/>
        <v>NFT</v>
      </c>
      <c r="AC21" s="102" t="str">
        <f t="shared" si="13"/>
        <v>Lower shift rate x 1.5</v>
      </c>
      <c r="AD21" s="103">
        <f ca="1">U21</f>
        <v>0.61599999999999999</v>
      </c>
      <c r="AE21" s="87"/>
      <c r="AF21" s="87"/>
      <c r="AG21" s="87"/>
      <c r="AH21" s="87"/>
      <c r="AI21" s="87"/>
      <c r="AJ21" s="87"/>
      <c r="AK21" s="87"/>
    </row>
    <row r="22" spans="1:3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51" t="s">
        <v>81</v>
      </c>
      <c r="S22" s="51" t="s">
        <v>136</v>
      </c>
      <c r="T22" s="51" t="s">
        <v>151</v>
      </c>
      <c r="U22" s="57" cm="1">
        <f t="array" aca="1" ref="U22" ca="1">ROUND(IF($R22="Y",VLOOKUP($S22,INDIRECT($S$2),U$5,0)*INDIRECT($R$1),VLOOKUP($S22,INDIRECT($S$2),U$5,0)),3)</f>
        <v>0.61599999999999999</v>
      </c>
      <c r="V22" s="57"/>
      <c r="W22" s="57"/>
      <c r="X22" s="57"/>
      <c r="Y22" s="57"/>
      <c r="Z22" s="57"/>
      <c r="AA22" s="57"/>
      <c r="AB22" s="101" t="str">
        <f t="shared" si="12"/>
        <v>NFG</v>
      </c>
      <c r="AC22" s="102" t="str">
        <f t="shared" si="13"/>
        <v>Lower shift rate x 2.0</v>
      </c>
      <c r="AD22" s="103">
        <f ca="1">U22</f>
        <v>0.61599999999999999</v>
      </c>
      <c r="AE22" s="87"/>
      <c r="AF22" s="87"/>
      <c r="AG22" s="87"/>
      <c r="AH22" s="87"/>
      <c r="AI22" s="87"/>
      <c r="AJ22" s="87"/>
      <c r="AK22" s="87"/>
    </row>
    <row r="23" spans="1:37" s="2" customFormat="1">
      <c r="B23" s="1"/>
      <c r="C23" s="1"/>
      <c r="D23" s="7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51"/>
      <c r="S23" s="51"/>
      <c r="T23" s="51"/>
      <c r="U23" s="57"/>
      <c r="V23" s="57"/>
      <c r="W23" s="57"/>
      <c r="X23" s="57"/>
      <c r="Y23" s="57"/>
      <c r="Z23" s="57"/>
      <c r="AA23" s="57"/>
      <c r="AB23" s="87"/>
      <c r="AC23" s="87"/>
      <c r="AD23" s="87"/>
      <c r="AE23" s="87"/>
      <c r="AF23" s="87"/>
      <c r="AG23" s="87"/>
      <c r="AH23" s="87"/>
      <c r="AI23" s="87"/>
      <c r="AJ23" s="87"/>
      <c r="AK23" s="87"/>
    </row>
    <row r="24" spans="1:3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51"/>
      <c r="S24" s="51"/>
      <c r="T24" s="51"/>
      <c r="U24" s="57"/>
      <c r="V24" s="57"/>
      <c r="W24" s="57"/>
      <c r="X24" s="57"/>
      <c r="Y24" s="57"/>
      <c r="Z24" s="57"/>
      <c r="AA24" s="57"/>
      <c r="AB24" s="87"/>
      <c r="AC24" s="87"/>
      <c r="AD24" s="87"/>
      <c r="AE24" s="87"/>
      <c r="AF24" s="87"/>
      <c r="AG24" s="87"/>
      <c r="AH24" s="87"/>
      <c r="AI24" s="87"/>
      <c r="AJ24" s="87"/>
      <c r="AK24" s="87"/>
    </row>
    <row r="25" spans="1:3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51"/>
      <c r="S25" s="51"/>
      <c r="T25" s="51"/>
      <c r="U25" s="57"/>
      <c r="V25" s="57"/>
      <c r="W25" s="57"/>
      <c r="X25" s="57"/>
      <c r="Y25" s="57"/>
      <c r="Z25" s="57"/>
      <c r="AA25" s="5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1:37" s="2" customFormat="1">
      <c r="A26" s="86" t="s">
        <v>28</v>
      </c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7"/>
      <c r="N26" s="7"/>
      <c r="O26" s="7"/>
      <c r="P26" s="7"/>
      <c r="R26" s="51"/>
      <c r="S26" s="51"/>
      <c r="T26" s="51"/>
      <c r="U26" s="57"/>
      <c r="V26" s="57"/>
      <c r="W26" s="57"/>
      <c r="X26" s="57"/>
      <c r="Y26" s="57"/>
      <c r="Z26" s="57"/>
      <c r="AA26" s="57"/>
      <c r="AB26" s="87"/>
      <c r="AC26" s="87"/>
      <c r="AD26" s="87"/>
      <c r="AE26" s="87"/>
      <c r="AF26" s="87"/>
      <c r="AG26" s="87"/>
      <c r="AH26" s="87"/>
      <c r="AI26" s="87"/>
      <c r="AJ26" s="87"/>
      <c r="AK26" s="87"/>
    </row>
    <row r="27" spans="1:37" s="2" customFormat="1">
      <c r="A27" s="2" t="s">
        <v>29</v>
      </c>
      <c r="J27" s="4"/>
      <c r="K27" s="4"/>
      <c r="L27" s="4"/>
      <c r="P27" s="7"/>
      <c r="R27" s="51"/>
      <c r="S27" s="70" t="s">
        <v>93</v>
      </c>
      <c r="T27" s="51"/>
      <c r="U27" s="57"/>
      <c r="V27" s="57"/>
      <c r="W27" s="57"/>
      <c r="X27" s="57"/>
      <c r="Y27" s="57"/>
      <c r="Z27" s="57"/>
      <c r="AA27" s="57"/>
      <c r="AB27" s="98" t="s">
        <v>93</v>
      </c>
      <c r="AC27" s="87"/>
      <c r="AD27" s="87"/>
      <c r="AE27" s="87"/>
      <c r="AF27" s="87"/>
      <c r="AG27" s="87"/>
      <c r="AH27" s="87"/>
      <c r="AI27" s="87"/>
      <c r="AJ27" s="87"/>
      <c r="AK27" s="87"/>
    </row>
    <row r="28" spans="1:37" s="2" customFormat="1">
      <c r="A28" s="24">
        <f ca="1">U28</f>
        <v>0.5</v>
      </c>
      <c r="B28" s="2" t="s">
        <v>30</v>
      </c>
      <c r="J28" s="4"/>
      <c r="K28" s="4"/>
      <c r="L28" s="4"/>
      <c r="P28" s="7"/>
      <c r="R28" s="51" t="s">
        <v>81</v>
      </c>
      <c r="S28" s="51" t="s">
        <v>86</v>
      </c>
      <c r="T28" s="51"/>
      <c r="U28" s="57" cm="1">
        <f t="array" aca="1" ref="U28" ca="1">ROUND(IF($R28="Y",VLOOKUP($S28,INDIRECT($S$2),U$5,0)*INDIRECT($R$1),VLOOKUP($S28,INDIRECT($S$2),U$5,0)),3)</f>
        <v>0.5</v>
      </c>
      <c r="V28" s="57"/>
      <c r="W28" s="57"/>
      <c r="X28" s="57"/>
      <c r="Y28" s="57"/>
      <c r="Z28" s="57"/>
      <c r="AA28" s="57"/>
      <c r="AB28" s="87" t="str">
        <f>S28</f>
        <v>10th Year</v>
      </c>
      <c r="AC28" s="87"/>
      <c r="AD28" s="91">
        <f ca="1">U28</f>
        <v>0.5</v>
      </c>
      <c r="AE28" s="87"/>
      <c r="AF28" s="87"/>
      <c r="AG28" s="87"/>
      <c r="AH28" s="87"/>
      <c r="AI28" s="87"/>
      <c r="AJ28" s="87"/>
      <c r="AK28" s="87"/>
    </row>
    <row r="29" spans="1:37" s="2" customFormat="1">
      <c r="A29" s="24">
        <f ca="1">U29</f>
        <v>0.64400000000000002</v>
      </c>
      <c r="B29" s="2" t="s">
        <v>31</v>
      </c>
      <c r="J29" s="4"/>
      <c r="K29" s="4"/>
      <c r="L29" s="4"/>
      <c r="P29" s="7"/>
      <c r="R29" s="51" t="s">
        <v>81</v>
      </c>
      <c r="S29" s="51" t="s">
        <v>87</v>
      </c>
      <c r="T29" s="51"/>
      <c r="U29" s="57" cm="1">
        <f t="array" aca="1" ref="U29" ca="1">ROUND(IF($R29="Y",VLOOKUP($S29,INDIRECT($S$2),U$5,0)*INDIRECT($R$1),VLOOKUP($S29,INDIRECT($S$2),U$5,0)),3)</f>
        <v>0.64400000000000002</v>
      </c>
      <c r="V29" s="57"/>
      <c r="W29" s="57"/>
      <c r="X29" s="57"/>
      <c r="Y29" s="57"/>
      <c r="Z29" s="57"/>
      <c r="AA29" s="57"/>
      <c r="AB29" s="87" t="str">
        <f t="shared" ref="AB29:AB31" si="14">S29</f>
        <v>15th Year</v>
      </c>
      <c r="AC29" s="87"/>
      <c r="AD29" s="91">
        <f t="shared" ref="AD29:AD31" ca="1" si="15">U29</f>
        <v>0.64400000000000002</v>
      </c>
      <c r="AE29" s="87"/>
      <c r="AF29" s="87"/>
      <c r="AG29" s="87"/>
      <c r="AH29" s="87"/>
      <c r="AI29" s="87"/>
      <c r="AJ29" s="87"/>
      <c r="AK29" s="87"/>
    </row>
    <row r="30" spans="1:37" s="2" customFormat="1">
      <c r="A30" s="24">
        <f ca="1">U30</f>
        <v>0.78900000000000003</v>
      </c>
      <c r="B30" s="2" t="s">
        <v>32</v>
      </c>
      <c r="J30" s="4"/>
      <c r="K30" s="4"/>
      <c r="L30" s="4"/>
      <c r="P30" s="7"/>
      <c r="R30" s="51" t="s">
        <v>81</v>
      </c>
      <c r="S30" s="51" t="s">
        <v>88</v>
      </c>
      <c r="T30" s="51"/>
      <c r="U30" s="57" cm="1">
        <f t="array" aca="1" ref="U30" ca="1">ROUND(IF($R30="Y",VLOOKUP($S30,INDIRECT($S$2),U$5,0)*INDIRECT($R$1),VLOOKUP($S30,INDIRECT($S$2),U$5,0)),3)</f>
        <v>0.78900000000000003</v>
      </c>
      <c r="V30" s="57"/>
      <c r="W30" s="57"/>
      <c r="X30" s="57"/>
      <c r="Y30" s="57"/>
      <c r="Z30" s="57"/>
      <c r="AA30" s="57"/>
      <c r="AB30" s="87" t="str">
        <f t="shared" si="14"/>
        <v>20th Year</v>
      </c>
      <c r="AC30" s="87"/>
      <c r="AD30" s="91">
        <f t="shared" ca="1" si="15"/>
        <v>0.78900000000000003</v>
      </c>
      <c r="AE30" s="87"/>
      <c r="AF30" s="87"/>
      <c r="AG30" s="87"/>
      <c r="AH30" s="87"/>
      <c r="AI30" s="87"/>
      <c r="AJ30" s="87"/>
      <c r="AK30" s="87"/>
    </row>
    <row r="31" spans="1:37" s="2" customFormat="1">
      <c r="A31" s="24">
        <f ca="1">U31</f>
        <v>0.93400000000000005</v>
      </c>
      <c r="B31" s="2" t="s">
        <v>33</v>
      </c>
      <c r="J31" s="4"/>
      <c r="K31" s="4"/>
      <c r="L31" s="4"/>
      <c r="P31" s="7"/>
      <c r="R31" s="51" t="s">
        <v>81</v>
      </c>
      <c r="S31" s="51" t="s">
        <v>89</v>
      </c>
      <c r="T31" s="51"/>
      <c r="U31" s="57" cm="1">
        <f t="array" aca="1" ref="U31" ca="1">ROUND(IF($R31="Y",VLOOKUP($S31,INDIRECT($S$2),U$5,0)*INDIRECT($R$1),VLOOKUP($S31,INDIRECT($S$2),U$5,0)),3)</f>
        <v>0.93400000000000005</v>
      </c>
      <c r="V31" s="57"/>
      <c r="W31" s="57"/>
      <c r="X31" s="57"/>
      <c r="Y31" s="57"/>
      <c r="Z31" s="57"/>
      <c r="AA31" s="57"/>
      <c r="AB31" s="87" t="str">
        <f t="shared" si="14"/>
        <v>25th Year</v>
      </c>
      <c r="AC31" s="87"/>
      <c r="AD31" s="91">
        <f t="shared" ca="1" si="15"/>
        <v>0.93400000000000005</v>
      </c>
      <c r="AE31" s="87"/>
      <c r="AF31" s="87"/>
      <c r="AG31" s="87"/>
      <c r="AH31" s="87"/>
      <c r="AI31" s="87"/>
      <c r="AJ31" s="87"/>
      <c r="AK31" s="87"/>
    </row>
    <row r="32" spans="1:37" s="2" customFormat="1">
      <c r="A32" s="1"/>
      <c r="B32" s="1"/>
      <c r="C32" s="1"/>
      <c r="D32" s="7"/>
      <c r="E32" s="1"/>
      <c r="F32" s="1"/>
      <c r="G32" s="1"/>
      <c r="H32" s="1"/>
      <c r="I32" s="1"/>
      <c r="J32" s="1"/>
      <c r="K32" s="1"/>
      <c r="L32" s="1"/>
      <c r="M32" s="7"/>
      <c r="N32" s="7"/>
      <c r="O32" s="1"/>
      <c r="P32" s="1"/>
      <c r="R32" s="51"/>
      <c r="S32" s="51"/>
      <c r="T32" s="51"/>
      <c r="U32" s="57"/>
      <c r="V32" s="57"/>
      <c r="W32" s="57"/>
      <c r="X32" s="57"/>
      <c r="Y32" s="57"/>
      <c r="Z32" s="57"/>
      <c r="AA32" s="57"/>
      <c r="AB32" s="87"/>
      <c r="AC32" s="87"/>
      <c r="AD32" s="87"/>
      <c r="AE32" s="87"/>
      <c r="AF32" s="87"/>
      <c r="AG32" s="87"/>
      <c r="AH32" s="87"/>
      <c r="AI32" s="87"/>
      <c r="AJ32" s="87"/>
      <c r="AK32" s="87"/>
    </row>
    <row r="33" spans="1:37" s="26" customFormat="1">
      <c r="A33" s="25" t="s">
        <v>35</v>
      </c>
      <c r="E33" s="27"/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63"/>
      <c r="S33" s="63"/>
      <c r="T33" s="63"/>
      <c r="U33" s="64"/>
      <c r="V33" s="64"/>
      <c r="W33" s="64"/>
      <c r="X33" s="64"/>
      <c r="Y33" s="64"/>
      <c r="Z33" s="64"/>
      <c r="AA33" s="64"/>
      <c r="AB33" s="94"/>
      <c r="AC33" s="94"/>
      <c r="AD33" s="94"/>
      <c r="AE33" s="94"/>
      <c r="AF33" s="94"/>
      <c r="AG33" s="94"/>
      <c r="AH33" s="94"/>
      <c r="AI33" s="94"/>
      <c r="AJ33" s="94"/>
      <c r="AK33" s="94"/>
    </row>
    <row r="34" spans="1:37" s="2" customFormat="1">
      <c r="A34" s="37" t="s">
        <v>57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51"/>
      <c r="S34" s="51"/>
      <c r="T34" s="51"/>
      <c r="U34" s="57"/>
      <c r="V34" s="57"/>
      <c r="W34" s="57"/>
      <c r="X34" s="57"/>
      <c r="Y34" s="57"/>
      <c r="Z34" s="57"/>
      <c r="AA34" s="57"/>
      <c r="AB34" s="87"/>
      <c r="AC34" s="87"/>
      <c r="AD34" s="87"/>
      <c r="AE34" s="87"/>
      <c r="AF34" s="87"/>
      <c r="AG34" s="87"/>
      <c r="AH34" s="87"/>
      <c r="AI34" s="87"/>
      <c r="AJ34" s="87"/>
      <c r="AK34" s="87"/>
    </row>
    <row r="35" spans="1:37" s="2" customFormat="1">
      <c r="A35" s="2" t="str">
        <f ca="1">"Dispatcher's hourly top-step rate of pay. Coaching/Training Premium = "&amp;TEXT(U35,"$0.000")&amp;" per hour assigned and coaching/training."</f>
        <v>Dispatcher's hourly top-step rate of pay. Coaching/Training Premium = $8.914 per hour assigned and coaching/training.</v>
      </c>
      <c r="G35" s="4"/>
      <c r="J35" s="34"/>
      <c r="K35" s="3"/>
      <c r="M35" s="4"/>
      <c r="N35" s="4"/>
      <c r="O35" s="4"/>
      <c r="P35" s="1"/>
      <c r="R35" s="51" t="s">
        <v>81</v>
      </c>
      <c r="S35" s="51" t="s">
        <v>140</v>
      </c>
      <c r="T35" s="51" t="s">
        <v>35</v>
      </c>
      <c r="U35" s="57">
        <f ca="1">AA7*0.2</f>
        <v>8.9144000000000005</v>
      </c>
      <c r="V35" s="51"/>
      <c r="W35" s="68" t="s">
        <v>96</v>
      </c>
      <c r="X35" s="57"/>
      <c r="Y35" s="57"/>
      <c r="Z35" s="57"/>
      <c r="AA35" s="57"/>
      <c r="AB35" s="87" t="str">
        <f t="shared" ref="AB35" si="16">S35</f>
        <v>COA</v>
      </c>
      <c r="AC35" s="87" t="str">
        <f t="shared" ref="AC35" si="17">T35</f>
        <v>Coaching/Training Premium</v>
      </c>
      <c r="AD35" s="91">
        <f t="shared" ref="AD35" ca="1" si="18">U35</f>
        <v>8.9144000000000005</v>
      </c>
      <c r="AE35" s="87"/>
      <c r="AF35" s="87"/>
      <c r="AG35" s="87"/>
      <c r="AH35" s="87"/>
      <c r="AI35" s="87"/>
      <c r="AJ35" s="87"/>
      <c r="AK35" s="87"/>
    </row>
    <row r="36" spans="1:37" s="2" customFormat="1">
      <c r="A36" s="3"/>
      <c r="E36" s="4"/>
      <c r="F36" s="4"/>
      <c r="G36" s="4"/>
      <c r="H36" s="4"/>
      <c r="J36" s="32"/>
      <c r="K36" s="3"/>
      <c r="L36" s="4"/>
      <c r="M36" s="4"/>
      <c r="N36" s="4"/>
      <c r="O36" s="4"/>
      <c r="P36" s="1"/>
      <c r="R36" s="51"/>
      <c r="S36" s="51"/>
      <c r="T36" s="51"/>
      <c r="U36" s="57"/>
      <c r="V36" s="57"/>
      <c r="W36" s="57"/>
      <c r="X36" s="57"/>
      <c r="Y36" s="57"/>
      <c r="Z36" s="57"/>
      <c r="AA36" s="5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pans="1:37" s="2" customFormat="1">
      <c r="A37" s="25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51"/>
      <c r="S37" s="51"/>
      <c r="T37" s="51"/>
      <c r="U37" s="57"/>
      <c r="V37" s="57"/>
      <c r="W37" s="57"/>
      <c r="X37" s="57"/>
      <c r="Y37" s="57"/>
      <c r="Z37" s="57"/>
      <c r="AA37" s="57"/>
      <c r="AB37" s="87"/>
      <c r="AC37" s="87"/>
      <c r="AD37" s="87"/>
      <c r="AE37" s="87"/>
      <c r="AF37" s="87"/>
      <c r="AG37" s="87"/>
      <c r="AH37" s="87"/>
      <c r="AI37" s="87"/>
      <c r="AJ37" s="87"/>
      <c r="AK37" s="87"/>
    </row>
    <row r="38" spans="1:37" s="2" customFormat="1">
      <c r="A38" s="40" t="s">
        <v>62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51"/>
      <c r="S38" s="51"/>
      <c r="T38" s="51"/>
      <c r="U38" s="57"/>
      <c r="V38" s="57"/>
      <c r="W38" s="57"/>
      <c r="X38" s="57"/>
      <c r="Y38" s="57"/>
      <c r="Z38" s="57"/>
      <c r="AA38" s="57"/>
      <c r="AB38" s="87"/>
      <c r="AC38" s="87"/>
      <c r="AD38" s="87"/>
      <c r="AE38" s="87"/>
      <c r="AF38" s="87"/>
      <c r="AG38" s="87"/>
      <c r="AH38" s="87"/>
      <c r="AI38" s="87"/>
      <c r="AJ38" s="87"/>
      <c r="AK38" s="87"/>
    </row>
    <row r="39" spans="1:37" s="2" customFormat="1">
      <c r="A39" s="2" t="s">
        <v>63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51"/>
      <c r="S39" s="51"/>
      <c r="T39" s="51"/>
      <c r="U39" s="57"/>
      <c r="V39" s="57"/>
      <c r="W39" s="57"/>
      <c r="X39" s="57"/>
      <c r="Y39" s="57"/>
      <c r="Z39" s="57"/>
      <c r="AA39" s="57"/>
      <c r="AB39" s="87"/>
      <c r="AC39" s="87"/>
      <c r="AD39" s="87"/>
      <c r="AE39" s="87"/>
      <c r="AF39" s="87"/>
      <c r="AG39" s="87"/>
      <c r="AH39" s="87"/>
      <c r="AI39" s="87"/>
      <c r="AJ39" s="87"/>
      <c r="AK39" s="87"/>
    </row>
    <row r="40" spans="1:37" s="2" customFormat="1">
      <c r="I40" s="73" t="s">
        <v>60</v>
      </c>
      <c r="J40" s="12" t="s">
        <v>71</v>
      </c>
      <c r="K40" s="12" t="s">
        <v>72</v>
      </c>
      <c r="L40" s="12" t="s">
        <v>73</v>
      </c>
      <c r="M40" s="12" t="s">
        <v>74</v>
      </c>
      <c r="N40" s="12" t="s">
        <v>75</v>
      </c>
      <c r="O40" s="12" t="s">
        <v>76</v>
      </c>
      <c r="P40" s="12" t="s">
        <v>77</v>
      </c>
      <c r="R40" s="51"/>
      <c r="S40" s="66"/>
      <c r="T40" s="66"/>
      <c r="U40" s="66"/>
      <c r="V40" s="61"/>
      <c r="W40" s="69" t="s">
        <v>98</v>
      </c>
      <c r="X40" s="66"/>
      <c r="Y40" s="66"/>
      <c r="Z40" s="51"/>
      <c r="AA40" s="51"/>
      <c r="AB40" s="87"/>
      <c r="AC40" s="87"/>
      <c r="AD40" s="87"/>
      <c r="AE40" s="87"/>
      <c r="AF40" s="87"/>
      <c r="AG40" s="87"/>
      <c r="AH40" s="87"/>
      <c r="AI40" s="87"/>
      <c r="AJ40" s="87"/>
      <c r="AK40" s="87"/>
    </row>
    <row r="41" spans="1:37">
      <c r="I41" s="74" t="s">
        <v>61</v>
      </c>
      <c r="J41" s="14">
        <f ca="1">ROUND(HLOOKUP(J40,$I$6:$O$7,2)*1.5,3)</f>
        <v>49.165999999999997</v>
      </c>
      <c r="K41" s="14">
        <f t="shared" ref="K41:P41" ca="1" si="19">ROUND(HLOOKUP(K40,$I$6:$O$7,2)*1.5,3)</f>
        <v>51.734000000000002</v>
      </c>
      <c r="L41" s="14">
        <f t="shared" ca="1" si="19"/>
        <v>54.447000000000003</v>
      </c>
      <c r="M41" s="14">
        <f t="shared" ca="1" si="19"/>
        <v>57.308</v>
      </c>
      <c r="N41" s="14">
        <f t="shared" ca="1" si="19"/>
        <v>60.341999999999999</v>
      </c>
      <c r="O41" s="14">
        <f t="shared" ca="1" si="19"/>
        <v>63.524999999999999</v>
      </c>
      <c r="P41" s="14">
        <f t="shared" ca="1" si="19"/>
        <v>66.858000000000004</v>
      </c>
      <c r="S41" s="67"/>
      <c r="T41" s="67"/>
      <c r="U41" s="67"/>
      <c r="V41" s="67"/>
      <c r="W41" s="67"/>
      <c r="X41" s="67"/>
      <c r="Y41" s="67"/>
    </row>
  </sheetData>
  <mergeCells count="1">
    <mergeCell ref="A1:O1"/>
  </mergeCells>
  <pageMargins left="0.25" right="0.25" top="0.5" bottom="0.25" header="0.5" footer="0.5"/>
  <pageSetup scale="49" orientation="landscape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C5F4B-AD4C-42F1-8D77-1300C45F31F6}">
  <sheetPr>
    <pageSetUpPr fitToPage="1"/>
  </sheetPr>
  <dimension ref="A1:AK41"/>
  <sheetViews>
    <sheetView showGridLines="0" topLeftCell="J9" zoomScaleNormal="100" workbookViewId="0">
      <selection activeCell="S35" sqref="S35:U37"/>
    </sheetView>
  </sheetViews>
  <sheetFormatPr defaultColWidth="9.1328125" defaultRowHeight="15.75"/>
  <cols>
    <col min="1" max="1" width="11.86328125" style="29" customWidth="1"/>
    <col min="2" max="2" width="7" style="29" customWidth="1"/>
    <col min="3" max="3" width="4.86328125" style="29" bestFit="1" customWidth="1"/>
    <col min="4" max="4" width="18.73046875" style="29" bestFit="1" customWidth="1"/>
    <col min="5" max="5" width="4.59765625" style="29" bestFit="1" customWidth="1"/>
    <col min="6" max="6" width="7" style="29" bestFit="1" customWidth="1"/>
    <col min="7" max="7" width="6.86328125" style="29" bestFit="1" customWidth="1"/>
    <col min="8" max="8" width="5.73046875" style="29" bestFit="1" customWidth="1"/>
    <col min="9" max="9" width="8.59765625" style="29" customWidth="1"/>
    <col min="10" max="15" width="8.59765625" style="29" bestFit="1" customWidth="1"/>
    <col min="16" max="16" width="8.3984375" style="29" bestFit="1" customWidth="1"/>
    <col min="17" max="17" width="9.1328125" style="29"/>
    <col min="18" max="18" width="16.73046875" style="51" bestFit="1" customWidth="1"/>
    <col min="19" max="19" width="15.73046875" style="51" bestFit="1" customWidth="1"/>
    <col min="20" max="20" width="27.59765625" style="51" bestFit="1" customWidth="1"/>
    <col min="21" max="22" width="8.3984375" style="57" bestFit="1" customWidth="1"/>
    <col min="23" max="23" width="23.73046875" style="57" bestFit="1" customWidth="1"/>
    <col min="24" max="27" width="8.3984375" style="57" bestFit="1" customWidth="1"/>
    <col min="28" max="28" width="15.73046875" style="87" bestFit="1" customWidth="1"/>
    <col min="29" max="29" width="30.59765625" style="87" bestFit="1" customWidth="1"/>
    <col min="30" max="30" width="7.265625" style="87" bestFit="1" customWidth="1"/>
    <col min="31" max="37" width="8.3984375" style="87" bestFit="1" customWidth="1"/>
    <col min="38" max="16384" width="9.1328125" style="29"/>
  </cols>
  <sheetData>
    <row r="1" spans="1:3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51" t="s">
        <v>128</v>
      </c>
      <c r="S1" s="84">
        <v>1.0075000000000001</v>
      </c>
      <c r="T1" s="51"/>
      <c r="U1" s="57"/>
      <c r="V1" s="57"/>
      <c r="W1" s="57"/>
      <c r="X1" s="57"/>
      <c r="Y1" s="57"/>
      <c r="Z1" s="57"/>
      <c r="AA1" s="5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37" s="2" customFormat="1">
      <c r="C2" s="3"/>
      <c r="D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51" t="s">
        <v>119</v>
      </c>
      <c r="S2" s="55" t="s">
        <v>130</v>
      </c>
      <c r="T2" s="51"/>
      <c r="U2" s="57"/>
      <c r="V2" s="57"/>
      <c r="W2" s="57"/>
      <c r="X2" s="57"/>
      <c r="Y2" s="57"/>
      <c r="Z2" s="57"/>
      <c r="AA2" s="5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37" s="2" customFormat="1">
      <c r="A3" s="2" t="s">
        <v>131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51"/>
      <c r="S3" s="51"/>
      <c r="T3" s="51"/>
      <c r="U3" s="57">
        <f ca="1">U7*1.04</f>
        <v>34.343920000000004</v>
      </c>
      <c r="V3" s="57"/>
      <c r="W3" s="57"/>
      <c r="X3" s="57"/>
      <c r="Y3" s="57"/>
      <c r="Z3" s="57"/>
      <c r="AA3" s="57">
        <f ca="1">AA8*1.04</f>
        <v>44.57544</v>
      </c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37" s="2" customFormat="1" ht="15" customHeight="1">
      <c r="A4" s="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51"/>
      <c r="S4" s="51"/>
      <c r="T4" s="51"/>
      <c r="U4" s="57"/>
      <c r="V4" s="57"/>
      <c r="W4" s="57"/>
      <c r="X4" s="57"/>
      <c r="Y4" s="57"/>
      <c r="Z4" s="57"/>
      <c r="AA4" s="57"/>
      <c r="AB4" s="95" t="s">
        <v>133</v>
      </c>
      <c r="AC4" s="87"/>
      <c r="AD4" s="87"/>
      <c r="AE4" s="87"/>
      <c r="AF4" s="87"/>
      <c r="AG4" s="87"/>
      <c r="AH4" s="87"/>
      <c r="AI4" s="87"/>
      <c r="AJ4" s="87"/>
      <c r="AK4" s="87"/>
    </row>
    <row r="5" spans="1:37" s="2" customFormat="1" ht="15" customHeight="1">
      <c r="A5" s="81"/>
      <c r="B5" s="3"/>
      <c r="C5" s="4"/>
      <c r="D5" s="81"/>
      <c r="E5" s="81"/>
      <c r="F5" s="85"/>
      <c r="G5" s="9"/>
      <c r="H5" s="9"/>
      <c r="I5" s="10"/>
      <c r="J5" s="9"/>
      <c r="K5" s="9"/>
      <c r="L5" s="9"/>
      <c r="M5" s="9"/>
      <c r="N5" s="9"/>
      <c r="O5" s="4"/>
      <c r="P5" s="7"/>
      <c r="R5" s="51"/>
      <c r="S5" s="51"/>
      <c r="T5" s="51"/>
      <c r="U5" s="82">
        <v>3</v>
      </c>
      <c r="V5" s="82">
        <f>U5+1</f>
        <v>4</v>
      </c>
      <c r="W5" s="82">
        <f t="shared" ref="W5:AA5" si="0">V5+1</f>
        <v>5</v>
      </c>
      <c r="X5" s="82">
        <f t="shared" si="0"/>
        <v>6</v>
      </c>
      <c r="Y5" s="82">
        <f t="shared" si="0"/>
        <v>7</v>
      </c>
      <c r="Z5" s="82">
        <f t="shared" si="0"/>
        <v>8</v>
      </c>
      <c r="AA5" s="82">
        <f t="shared" si="0"/>
        <v>9</v>
      </c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37" s="2" customFormat="1" ht="31.5" customHeight="1">
      <c r="A6" s="45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68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51" t="s">
        <v>80</v>
      </c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  <c r="AB6" s="88" t="s">
        <v>78</v>
      </c>
      <c r="AC6" s="89" t="s">
        <v>14</v>
      </c>
      <c r="AD6" s="88" t="s">
        <v>68</v>
      </c>
      <c r="AE6" s="90" t="s">
        <v>71</v>
      </c>
      <c r="AF6" s="90" t="s">
        <v>72</v>
      </c>
      <c r="AG6" s="90" t="s">
        <v>73</v>
      </c>
      <c r="AH6" s="90" t="s">
        <v>74</v>
      </c>
      <c r="AI6" s="90" t="s">
        <v>75</v>
      </c>
      <c r="AJ6" s="90" t="s">
        <v>76</v>
      </c>
      <c r="AK6" s="90" t="s">
        <v>77</v>
      </c>
    </row>
    <row r="7" spans="1:37" s="2" customFormat="1">
      <c r="A7" s="4" t="s">
        <v>21</v>
      </c>
      <c r="B7" s="4" t="s">
        <v>19</v>
      </c>
      <c r="C7" s="4">
        <v>2</v>
      </c>
      <c r="D7" s="7" t="s">
        <v>22</v>
      </c>
      <c r="E7" s="4">
        <v>363</v>
      </c>
      <c r="F7" s="46" t="s">
        <v>158</v>
      </c>
      <c r="G7" s="4">
        <v>8</v>
      </c>
      <c r="H7" s="4" t="s">
        <v>20</v>
      </c>
      <c r="I7" s="14">
        <f ca="1">U7</f>
        <v>33.023000000000003</v>
      </c>
      <c r="J7" s="14">
        <f t="shared" ref="J7:O8" ca="1" si="1">V7</f>
        <v>34.747999999999998</v>
      </c>
      <c r="K7" s="14">
        <f t="shared" ca="1" si="1"/>
        <v>36.57</v>
      </c>
      <c r="L7" s="14">
        <f t="shared" ca="1" si="1"/>
        <v>38.491999999999997</v>
      </c>
      <c r="M7" s="14">
        <f t="shared" ca="1" si="1"/>
        <v>40.53</v>
      </c>
      <c r="N7" s="14">
        <f t="shared" ca="1" si="1"/>
        <v>42.667999999999999</v>
      </c>
      <c r="O7" s="14">
        <f t="shared" ca="1" si="1"/>
        <v>44.905999999999999</v>
      </c>
      <c r="P7" s="7"/>
      <c r="R7" s="51" t="s">
        <v>81</v>
      </c>
      <c r="S7" s="55" t="s">
        <v>21</v>
      </c>
      <c r="T7" s="56" t="str">
        <f>D7</f>
        <v>911 Dispatcher</v>
      </c>
      <c r="U7" s="57" cm="1">
        <f t="array" aca="1" ref="U7" ca="1">ROUND(IF($R7="Y",VLOOKUP($S7,INDIRECT($S$2),U$5,0)*INDIRECT($R$1),VLOOKUP($S7,INDIRECT($S$2),U$5,0)),3)</f>
        <v>33.023000000000003</v>
      </c>
      <c r="V7" s="57" cm="1">
        <f t="array" aca="1" ref="V7" ca="1">ROUND(IF($R7="Y",VLOOKUP($S7,INDIRECT($S$2),V$5,0)*INDIRECT($R$1),VLOOKUP($S7,INDIRECT($S$2),V$5,0)),3)</f>
        <v>34.747999999999998</v>
      </c>
      <c r="W7" s="57" cm="1">
        <f t="array" aca="1" ref="W7" ca="1">ROUND(IF($R7="Y",VLOOKUP($S7,INDIRECT($S$2),W$5,0)*INDIRECT($R$1),VLOOKUP($S7,INDIRECT($S$2),W$5,0)),3)</f>
        <v>36.57</v>
      </c>
      <c r="X7" s="57" cm="1">
        <f t="array" aca="1" ref="X7" ca="1">ROUND(IF($R7="Y",VLOOKUP($S7,INDIRECT($S$2),X$5,0)*INDIRECT($R$1),VLOOKUP($S7,INDIRECT($S$2),X$5,0)),3)</f>
        <v>38.491999999999997</v>
      </c>
      <c r="Y7" s="57" cm="1">
        <f t="array" aca="1" ref="Y7" ca="1">ROUND(IF($R7="Y",VLOOKUP($S7,INDIRECT($S$2),Y$5,0)*INDIRECT($R$1),VLOOKUP($S7,INDIRECT($S$2),Y$5,0)),3)</f>
        <v>40.53</v>
      </c>
      <c r="Z7" s="57" cm="1">
        <f t="array" aca="1" ref="Z7" ca="1">ROUND(IF($R7="Y",VLOOKUP($S7,INDIRECT($S$2),Z$5,0)*INDIRECT($R$1),VLOOKUP($S7,INDIRECT($S$2),Z$5,0)),3)</f>
        <v>42.667999999999999</v>
      </c>
      <c r="AA7" s="57" cm="1">
        <f t="array" aca="1" ref="AA7" ca="1">ROUND(IF($R7="Y",VLOOKUP($S7,INDIRECT($S$2),AA$5,0)*INDIRECT($R$1),VLOOKUP($S7,INDIRECT($S$2),AA$5,0)),3)</f>
        <v>44.905999999999999</v>
      </c>
      <c r="AB7" s="87" t="str">
        <f>S7</f>
        <v>00011C</v>
      </c>
      <c r="AC7" s="87" t="str">
        <f>T7</f>
        <v>911 Dispatcher</v>
      </c>
      <c r="AD7" s="96" t="str">
        <f>F7</f>
        <v>04</v>
      </c>
      <c r="AE7" s="91">
        <f ca="1">ROUND(U7,3)</f>
        <v>33.023000000000003</v>
      </c>
      <c r="AF7" s="91">
        <f t="shared" ref="AF7:AK7" ca="1" si="2">ROUND(V7,3)</f>
        <v>34.747999999999998</v>
      </c>
      <c r="AG7" s="91">
        <f t="shared" ca="1" si="2"/>
        <v>36.57</v>
      </c>
      <c r="AH7" s="91">
        <f t="shared" ca="1" si="2"/>
        <v>38.491999999999997</v>
      </c>
      <c r="AI7" s="91">
        <f t="shared" ca="1" si="2"/>
        <v>40.53</v>
      </c>
      <c r="AJ7" s="91">
        <f t="shared" ca="1" si="2"/>
        <v>42.667999999999999</v>
      </c>
      <c r="AK7" s="91">
        <f t="shared" ca="1" si="2"/>
        <v>44.905999999999999</v>
      </c>
    </row>
    <row r="8" spans="1:37" s="2" customFormat="1">
      <c r="A8" s="4" t="s">
        <v>113</v>
      </c>
      <c r="B8" s="4" t="s">
        <v>19</v>
      </c>
      <c r="C8" s="4">
        <v>2</v>
      </c>
      <c r="D8" s="7" t="s">
        <v>115</v>
      </c>
      <c r="E8" s="4">
        <v>343</v>
      </c>
      <c r="F8" s="46" t="s">
        <v>157</v>
      </c>
      <c r="G8" s="4">
        <v>7</v>
      </c>
      <c r="H8" s="4" t="s">
        <v>20</v>
      </c>
      <c r="I8" s="14">
        <f ca="1">U8</f>
        <v>31.509</v>
      </c>
      <c r="J8" s="14">
        <f t="shared" ca="1" si="1"/>
        <v>33.171999999999997</v>
      </c>
      <c r="K8" s="14">
        <f t="shared" ca="1" si="1"/>
        <v>34.918999999999997</v>
      </c>
      <c r="L8" s="14">
        <f t="shared" ca="1" si="1"/>
        <v>36.752000000000002</v>
      </c>
      <c r="M8" s="14">
        <f t="shared" ca="1" si="1"/>
        <v>38.688000000000002</v>
      </c>
      <c r="N8" s="14">
        <f t="shared" ca="1" si="1"/>
        <v>40.722000000000001</v>
      </c>
      <c r="O8" s="14">
        <f t="shared" ca="1" si="1"/>
        <v>42.860999999999997</v>
      </c>
      <c r="P8" s="7"/>
      <c r="R8" s="51" t="s">
        <v>81</v>
      </c>
      <c r="S8" s="55" t="s">
        <v>113</v>
      </c>
      <c r="T8" s="56" t="str">
        <f>D8</f>
        <v>911 Call Taker</v>
      </c>
      <c r="U8" s="57" cm="1">
        <f t="array" aca="1" ref="U8" ca="1">ROUND(IF($R8="Y",VLOOKUP($S8,INDIRECT($S$2),U$5,0)*INDIRECT($R$1),VLOOKUP($S8,INDIRECT($S$2),U$5,0)),3)</f>
        <v>31.509</v>
      </c>
      <c r="V8" s="57" cm="1">
        <f t="array" aca="1" ref="V8" ca="1">ROUND(IF($R8="Y",VLOOKUP($S8,INDIRECT($S$2),V$5,0)*INDIRECT($R$1),VLOOKUP($S8,INDIRECT($S$2),V$5,0)),3)</f>
        <v>33.171999999999997</v>
      </c>
      <c r="W8" s="57" cm="1">
        <f t="array" aca="1" ref="W8" ca="1">ROUND(IF($R8="Y",VLOOKUP($S8,INDIRECT($S$2),W$5,0)*INDIRECT($R$1),VLOOKUP($S8,INDIRECT($S$2),W$5,0)),3)</f>
        <v>34.918999999999997</v>
      </c>
      <c r="X8" s="57" cm="1">
        <f t="array" aca="1" ref="X8" ca="1">ROUND(IF($R8="Y",VLOOKUP($S8,INDIRECT($S$2),X$5,0)*INDIRECT($R$1),VLOOKUP($S8,INDIRECT($S$2),X$5,0)),3)</f>
        <v>36.752000000000002</v>
      </c>
      <c r="Y8" s="57" cm="1">
        <f t="array" aca="1" ref="Y8" ca="1">ROUND(IF($R8="Y",VLOOKUP($S8,INDIRECT($S$2),Y$5,0)*INDIRECT($R$1),VLOOKUP($S8,INDIRECT($S$2),Y$5,0)),3)</f>
        <v>38.688000000000002</v>
      </c>
      <c r="Z8" s="57" cm="1">
        <f t="array" aca="1" ref="Z8" ca="1">ROUND(IF($R8="Y",VLOOKUP($S8,INDIRECT($S$2),Z$5,0)*INDIRECT($R$1),VLOOKUP($S8,INDIRECT($S$2),Z$5,0)),3)</f>
        <v>40.722000000000001</v>
      </c>
      <c r="AA8" s="57" cm="1">
        <f t="array" aca="1" ref="AA8" ca="1">ROUND(IF($R8="Y",VLOOKUP($S8,INDIRECT($S$2),AA$5,0)*INDIRECT($R$1),VLOOKUP($S8,INDIRECT($S$2),AA$5,0)),3)</f>
        <v>42.860999999999997</v>
      </c>
      <c r="AB8" s="87" t="str">
        <f>S8</f>
        <v>00020C</v>
      </c>
      <c r="AC8" s="87" t="str">
        <f>T8</f>
        <v>911 Call Taker</v>
      </c>
      <c r="AD8" s="96" t="str">
        <f>F8</f>
        <v>03</v>
      </c>
      <c r="AE8" s="91">
        <f ca="1">ROUND(U8,3)</f>
        <v>31.509</v>
      </c>
      <c r="AF8" s="91">
        <f t="shared" ref="AF8" ca="1" si="3">ROUND(V8,3)</f>
        <v>33.171999999999997</v>
      </c>
      <c r="AG8" s="91">
        <f t="shared" ref="AG8" ca="1" si="4">ROUND(W8,3)</f>
        <v>34.918999999999997</v>
      </c>
      <c r="AH8" s="91">
        <f t="shared" ref="AH8" ca="1" si="5">ROUND(X8,3)</f>
        <v>36.752000000000002</v>
      </c>
      <c r="AI8" s="91">
        <f t="shared" ref="AI8" ca="1" si="6">ROUND(Y8,3)</f>
        <v>38.688000000000002</v>
      </c>
      <c r="AJ8" s="91">
        <f t="shared" ref="AJ8" ca="1" si="7">ROUND(Z8,3)</f>
        <v>40.722000000000001</v>
      </c>
      <c r="AK8" s="91">
        <f t="shared" ref="AK8" ca="1" si="8">ROUND(AA8,3)</f>
        <v>42.860999999999997</v>
      </c>
    </row>
    <row r="9" spans="1:37" s="7" customFormat="1" ht="16.149999999999999" thickBot="1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R9" s="58"/>
      <c r="S9" s="58"/>
      <c r="T9" s="58"/>
      <c r="U9" s="59"/>
      <c r="V9" s="59"/>
      <c r="W9" s="59"/>
      <c r="X9" s="59"/>
      <c r="Y9" s="59"/>
      <c r="Z9" s="59"/>
      <c r="AA9" s="59"/>
      <c r="AB9" s="92"/>
      <c r="AC9" s="92"/>
      <c r="AD9" s="92"/>
      <c r="AE9" s="92"/>
      <c r="AF9" s="92"/>
      <c r="AG9" s="92"/>
      <c r="AH9" s="92"/>
      <c r="AI9" s="92"/>
      <c r="AJ9" s="92"/>
      <c r="AK9" s="92"/>
    </row>
    <row r="10" spans="1:37" s="2" customFormat="1">
      <c r="A10" s="81" t="s">
        <v>56</v>
      </c>
      <c r="B10" s="4"/>
      <c r="C10" s="4"/>
      <c r="E10" s="4"/>
      <c r="F10" s="4"/>
      <c r="G10" s="4"/>
      <c r="H10" s="4"/>
      <c r="I10" s="4"/>
      <c r="J10" s="4"/>
      <c r="K10" s="4"/>
      <c r="L10" s="4"/>
      <c r="P10" s="7"/>
      <c r="R10" s="51"/>
      <c r="S10" s="51"/>
      <c r="T10" s="51"/>
      <c r="U10" s="57"/>
      <c r="V10" s="57"/>
      <c r="W10" s="57"/>
      <c r="X10" s="57"/>
      <c r="Y10" s="57"/>
      <c r="Z10" s="57"/>
      <c r="AA10" s="57"/>
      <c r="AB10" s="87"/>
      <c r="AC10" s="87"/>
      <c r="AD10" s="87"/>
      <c r="AE10" s="87"/>
      <c r="AF10" s="87"/>
      <c r="AG10" s="87"/>
      <c r="AH10" s="87"/>
      <c r="AI10" s="87"/>
      <c r="AJ10" s="87"/>
      <c r="AK10" s="87"/>
    </row>
    <row r="11" spans="1:37" s="2" customFormat="1">
      <c r="A11" s="2" t="str">
        <f ca="1">"In addition to their base rate of pay, employees shall be paid "&amp;TEXT(U11,"$0.000")&amp; " per hour for all hours worked on any shift that begins"</f>
        <v>In addition to their base rate of pay, employees shall be paid $0.621 per hour for all hours worked on any shift that begins</v>
      </c>
      <c r="B11" s="4"/>
      <c r="C11" s="4"/>
      <c r="E11" s="4"/>
      <c r="F11" s="4"/>
      <c r="G11" s="4"/>
      <c r="I11" s="36"/>
      <c r="J11" s="3"/>
      <c r="K11" s="3"/>
      <c r="L11" s="3"/>
      <c r="M11" s="3"/>
      <c r="N11" s="3"/>
      <c r="P11" s="7"/>
      <c r="R11" s="51" t="s">
        <v>81</v>
      </c>
      <c r="S11" s="60" t="s">
        <v>82</v>
      </c>
      <c r="T11" s="60" t="s">
        <v>83</v>
      </c>
      <c r="U11" s="57" cm="1">
        <f t="array" aca="1" ref="U11" ca="1">ROUND(IF($R11="Y",VLOOKUP($S11,INDIRECT($S$2),U$5,0)*INDIRECT($R$1),VLOOKUP($S11,INDIRECT($S$2),U$5,0)),3)</f>
        <v>0.621</v>
      </c>
      <c r="V11" s="57"/>
      <c r="W11" s="57"/>
      <c r="X11" s="61"/>
      <c r="Y11" s="57"/>
      <c r="Z11" s="57"/>
      <c r="AA11" s="57"/>
      <c r="AB11" s="87" t="str">
        <f>S11</f>
        <v>CMNEVE</v>
      </c>
      <c r="AC11" s="87" t="str">
        <f>T11</f>
        <v>TL-Evening Shift Premium-CMN</v>
      </c>
      <c r="AD11" s="91">
        <f ca="1">U11</f>
        <v>0.621</v>
      </c>
      <c r="AE11" s="87"/>
      <c r="AF11" s="87"/>
      <c r="AG11" s="87"/>
      <c r="AH11" s="87"/>
      <c r="AI11" s="87"/>
      <c r="AJ11" s="87"/>
      <c r="AK11" s="87"/>
    </row>
    <row r="12" spans="1:37" s="2" customFormat="1">
      <c r="A12" s="2" t="s">
        <v>53</v>
      </c>
      <c r="P12" s="7"/>
      <c r="R12" s="51"/>
      <c r="S12" s="51"/>
      <c r="T12" s="51"/>
      <c r="U12" s="57"/>
      <c r="V12" s="57"/>
      <c r="W12" s="57"/>
      <c r="X12" s="57"/>
      <c r="Y12" s="57"/>
      <c r="Z12" s="57"/>
      <c r="AA12" s="57"/>
      <c r="AB12" s="87"/>
      <c r="AC12" s="87"/>
      <c r="AD12" s="91"/>
      <c r="AE12" s="87"/>
      <c r="AF12" s="87"/>
      <c r="AG12" s="87"/>
      <c r="AH12" s="87"/>
      <c r="AI12" s="87"/>
      <c r="AJ12" s="87"/>
      <c r="AK12" s="87"/>
    </row>
    <row r="13" spans="1:37" s="2" customFormat="1">
      <c r="P13" s="7"/>
      <c r="R13" s="51"/>
      <c r="S13" s="51"/>
      <c r="T13" s="51"/>
      <c r="U13" s="57"/>
      <c r="V13" s="57"/>
      <c r="W13" s="57"/>
      <c r="X13" s="57"/>
      <c r="Y13" s="57"/>
      <c r="Z13" s="57"/>
      <c r="AA13" s="57"/>
      <c r="AB13" s="87"/>
      <c r="AC13" s="87"/>
      <c r="AD13" s="91"/>
      <c r="AE13" s="87"/>
      <c r="AF13" s="87"/>
      <c r="AG13" s="87"/>
      <c r="AH13" s="87"/>
      <c r="AI13" s="87"/>
      <c r="AJ13" s="87"/>
      <c r="AK13" s="87"/>
    </row>
    <row r="14" spans="1:37" s="2" customFormat="1">
      <c r="A14" s="2" t="str">
        <f ca="1">"In addition to their base rate of pay, employees shall be paid "&amp;TEXT(U14,"$0.000")&amp;" per hour for all hours worked on any shift that begins"</f>
        <v>In addition to their base rate of pay, employees shall be paid $1.476 per hour for all hours worked on any shift that begins</v>
      </c>
      <c r="I14" s="36"/>
      <c r="P14" s="7"/>
      <c r="R14" s="51" t="s">
        <v>81</v>
      </c>
      <c r="S14" s="60" t="s">
        <v>84</v>
      </c>
      <c r="T14" s="60" t="s">
        <v>85</v>
      </c>
      <c r="U14" s="57" cm="1">
        <f t="array" aca="1" ref="U14" ca="1">ROUND(IF($R14="Y",VLOOKUP($S14,INDIRECT($S$2),U$5,0)*INDIRECT($R$1),VLOOKUP($S14,INDIRECT($S$2),U$5,0)),3)</f>
        <v>1.476</v>
      </c>
      <c r="V14" s="57"/>
      <c r="W14" s="57"/>
      <c r="X14" s="57"/>
      <c r="Y14" s="57"/>
      <c r="Z14" s="57"/>
      <c r="AA14" s="57"/>
      <c r="AB14" s="87" t="str">
        <f t="shared" ref="AB14" si="9">S14</f>
        <v>CMNNIT</v>
      </c>
      <c r="AC14" s="87" t="str">
        <f t="shared" ref="AC14" si="10">T14</f>
        <v>TL-Night Shift Premium-CMN</v>
      </c>
      <c r="AD14" s="91">
        <f t="shared" ref="AD14" ca="1" si="11">U14</f>
        <v>1.476</v>
      </c>
      <c r="AE14" s="87"/>
      <c r="AF14" s="87"/>
      <c r="AG14" s="87"/>
      <c r="AH14" s="87"/>
      <c r="AI14" s="87"/>
      <c r="AJ14" s="87"/>
      <c r="AK14" s="87"/>
    </row>
    <row r="15" spans="1:37" s="2" customFormat="1">
      <c r="A15" s="2" t="s">
        <v>95</v>
      </c>
      <c r="B15" s="4"/>
      <c r="C15" s="4"/>
      <c r="E15" s="4"/>
      <c r="F15" s="4"/>
      <c r="G15" s="4"/>
      <c r="H15" s="4"/>
      <c r="I15" s="4"/>
      <c r="J15" s="4"/>
      <c r="K15" s="4"/>
      <c r="L15" s="4"/>
      <c r="P15" s="7"/>
      <c r="R15" s="51"/>
      <c r="S15" s="51"/>
      <c r="T15" s="51"/>
      <c r="U15" s="57"/>
      <c r="V15" s="57"/>
      <c r="W15" s="57"/>
      <c r="X15" s="57"/>
      <c r="Y15" s="57"/>
      <c r="Z15" s="57"/>
      <c r="AA15" s="57"/>
      <c r="AB15" s="87"/>
      <c r="AC15" s="87"/>
      <c r="AD15" s="87"/>
      <c r="AE15" s="87"/>
      <c r="AF15" s="87"/>
      <c r="AG15" s="87"/>
      <c r="AH15" s="87"/>
      <c r="AI15" s="87"/>
      <c r="AJ15" s="87"/>
      <c r="AK15" s="87"/>
    </row>
    <row r="16" spans="1:37" s="2" customFormat="1">
      <c r="B16" s="4"/>
      <c r="C16" s="4"/>
      <c r="E16" s="4"/>
      <c r="F16" s="4"/>
      <c r="G16" s="4"/>
      <c r="H16" s="4"/>
      <c r="I16" s="4"/>
      <c r="J16" s="4"/>
      <c r="K16" s="4"/>
      <c r="L16" s="4"/>
      <c r="P16" s="7"/>
      <c r="R16" s="51"/>
      <c r="S16" s="70" t="s">
        <v>145</v>
      </c>
      <c r="T16" s="51"/>
      <c r="U16" s="57"/>
      <c r="V16" s="57"/>
      <c r="W16" s="57"/>
      <c r="X16" s="57"/>
      <c r="Y16" s="57"/>
      <c r="Z16" s="57"/>
      <c r="AA16" s="57"/>
      <c r="AB16" s="100" t="s">
        <v>145</v>
      </c>
      <c r="AC16" s="101"/>
      <c r="AD16" s="101"/>
      <c r="AE16" s="87"/>
      <c r="AF16" s="87"/>
      <c r="AG16" s="87"/>
      <c r="AH16" s="87"/>
      <c r="AI16" s="87"/>
      <c r="AJ16" s="87"/>
      <c r="AK16" s="87"/>
    </row>
    <row r="17" spans="1:37" s="2" customFormat="1">
      <c r="A17" s="2" t="s">
        <v>24</v>
      </c>
      <c r="P17" s="7"/>
      <c r="R17" s="51" t="s">
        <v>81</v>
      </c>
      <c r="S17" s="51" t="s">
        <v>137</v>
      </c>
      <c r="T17" s="99" t="s">
        <v>147</v>
      </c>
      <c r="U17" s="57" cm="1">
        <f t="array" aca="1" ref="U17" ca="1">ROUND(IF($R17="Y",VLOOKUP($S17,INDIRECT($S$2),U$5,0)*INDIRECT($R$1),VLOOKUP($S17,INDIRECT($S$2),U$5,0)),3)</f>
        <v>1.476</v>
      </c>
      <c r="V17" s="57"/>
      <c r="W17" s="57"/>
      <c r="X17" s="57"/>
      <c r="Y17" s="57"/>
      <c r="Z17" s="57"/>
      <c r="AA17" s="57"/>
      <c r="AB17" s="101" t="str">
        <f>S17</f>
        <v>NBF</v>
      </c>
      <c r="AC17" s="102" t="str">
        <f>T17</f>
        <v>Higher shift rate</v>
      </c>
      <c r="AD17" s="103">
        <f ca="1">U17</f>
        <v>1.476</v>
      </c>
      <c r="AE17" s="87"/>
      <c r="AF17" s="87"/>
      <c r="AG17" s="87"/>
      <c r="AH17" s="87"/>
      <c r="AI17" s="87"/>
      <c r="AJ17" s="87"/>
      <c r="AK17" s="87"/>
    </row>
    <row r="18" spans="1:37" s="2" customFormat="1">
      <c r="A18" s="2" t="s">
        <v>25</v>
      </c>
      <c r="P18" s="7"/>
      <c r="R18" s="51" t="s">
        <v>81</v>
      </c>
      <c r="S18" s="51" t="s">
        <v>138</v>
      </c>
      <c r="T18" s="51" t="s">
        <v>148</v>
      </c>
      <c r="U18" s="57" cm="1">
        <f t="array" aca="1" ref="U18" ca="1">ROUND(IF($R18="Y",VLOOKUP($S18,INDIRECT($S$2),U$5,0)*INDIRECT($R$1),VLOOKUP($S18,INDIRECT($S$2),U$5,0)),3)</f>
        <v>1.476</v>
      </c>
      <c r="V18" s="57"/>
      <c r="W18" s="57"/>
      <c r="X18" s="57"/>
      <c r="Y18" s="57"/>
      <c r="Z18" s="57"/>
      <c r="AA18" s="57"/>
      <c r="AB18" s="101" t="str">
        <f t="shared" ref="AB18:AB22" si="12">S18</f>
        <v>NBT</v>
      </c>
      <c r="AC18" s="102" t="str">
        <f t="shared" ref="AC18:AC22" si="13">T18</f>
        <v>Higher shift rate x 1.5</v>
      </c>
      <c r="AD18" s="103">
        <f ca="1">U18</f>
        <v>1.476</v>
      </c>
      <c r="AE18" s="87"/>
      <c r="AF18" s="87"/>
      <c r="AG18" s="87"/>
      <c r="AH18" s="87"/>
      <c r="AI18" s="87"/>
      <c r="AJ18" s="87"/>
      <c r="AK18" s="87"/>
    </row>
    <row r="19" spans="1:37" s="2" customFormat="1">
      <c r="A19" s="2" t="s">
        <v>26</v>
      </c>
      <c r="P19" s="7"/>
      <c r="R19" s="51" t="s">
        <v>81</v>
      </c>
      <c r="S19" s="51" t="s">
        <v>139</v>
      </c>
      <c r="T19" s="51" t="s">
        <v>146</v>
      </c>
      <c r="U19" s="57">
        <f ca="1">U17</f>
        <v>1.476</v>
      </c>
      <c r="V19" s="57"/>
      <c r="W19" s="57"/>
      <c r="X19" s="57"/>
      <c r="Y19" s="57"/>
      <c r="Z19" s="57"/>
      <c r="AA19" s="57"/>
      <c r="AB19" s="101" t="str">
        <f t="shared" si="12"/>
        <v>NBG</v>
      </c>
      <c r="AC19" s="102" t="str">
        <f t="shared" si="13"/>
        <v>Higher shift rate x 2.0</v>
      </c>
      <c r="AD19" s="103">
        <f ca="1">U19</f>
        <v>1.476</v>
      </c>
      <c r="AE19" s="87"/>
      <c r="AF19" s="87"/>
      <c r="AG19" s="87"/>
      <c r="AH19" s="87"/>
      <c r="AI19" s="87"/>
      <c r="AJ19" s="87"/>
      <c r="AK19" s="87"/>
    </row>
    <row r="20" spans="1:3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51" t="s">
        <v>81</v>
      </c>
      <c r="S20" s="51" t="s">
        <v>134</v>
      </c>
      <c r="T20" s="51" t="s">
        <v>149</v>
      </c>
      <c r="U20" s="57" cm="1">
        <f t="array" aca="1" ref="U20" ca="1">ROUND(IF($R20="Y",VLOOKUP($S20,INDIRECT($S$2),U$5,0)*INDIRECT($R$1),VLOOKUP($S20,INDIRECT($S$2),U$5,0)),3)</f>
        <v>0.621</v>
      </c>
      <c r="V20" s="57"/>
      <c r="W20" s="57"/>
      <c r="X20" s="57"/>
      <c r="Y20" s="57"/>
      <c r="Z20" s="57"/>
      <c r="AA20" s="57"/>
      <c r="AB20" s="101" t="str">
        <f t="shared" si="12"/>
        <v>NFF</v>
      </c>
      <c r="AC20" s="102" t="str">
        <f t="shared" si="13"/>
        <v>Lower shift rate</v>
      </c>
      <c r="AD20" s="103">
        <f ca="1">U20</f>
        <v>0.621</v>
      </c>
      <c r="AE20" s="87"/>
      <c r="AF20" s="87"/>
      <c r="AG20" s="87"/>
      <c r="AH20" s="87"/>
      <c r="AI20" s="87"/>
      <c r="AJ20" s="87"/>
      <c r="AK20" s="87"/>
    </row>
    <row r="21" spans="1:37" s="2" customForma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51" t="s">
        <v>81</v>
      </c>
      <c r="S21" s="51" t="s">
        <v>135</v>
      </c>
      <c r="T21" s="51" t="s">
        <v>150</v>
      </c>
      <c r="U21" s="57" cm="1">
        <f t="array" aca="1" ref="U21" ca="1">ROUND(IF($R21="Y",VLOOKUP($S21,INDIRECT($S$2),U$5,0)*INDIRECT($R$1),VLOOKUP($S21,INDIRECT($S$2),U$5,0)),3)</f>
        <v>0.621</v>
      </c>
      <c r="V21" s="57"/>
      <c r="W21" s="57"/>
      <c r="X21" s="57"/>
      <c r="Y21" s="57"/>
      <c r="Z21" s="57"/>
      <c r="AA21" s="57"/>
      <c r="AB21" s="101" t="str">
        <f t="shared" si="12"/>
        <v>NFT</v>
      </c>
      <c r="AC21" s="102" t="str">
        <f t="shared" si="13"/>
        <v>Lower shift rate x 1.5</v>
      </c>
      <c r="AD21" s="103">
        <f ca="1">U21</f>
        <v>0.621</v>
      </c>
      <c r="AE21" s="87"/>
      <c r="AF21" s="87"/>
      <c r="AG21" s="87"/>
      <c r="AH21" s="87"/>
      <c r="AI21" s="87"/>
      <c r="AJ21" s="87"/>
      <c r="AK21" s="87"/>
    </row>
    <row r="22" spans="1:3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51" t="s">
        <v>81</v>
      </c>
      <c r="S22" s="51" t="s">
        <v>136</v>
      </c>
      <c r="T22" s="51" t="s">
        <v>151</v>
      </c>
      <c r="U22" s="57">
        <f ca="1">U20</f>
        <v>0.621</v>
      </c>
      <c r="V22" s="57"/>
      <c r="W22" s="57"/>
      <c r="X22" s="57"/>
      <c r="Y22" s="57"/>
      <c r="Z22" s="57"/>
      <c r="AA22" s="57"/>
      <c r="AB22" s="101" t="str">
        <f t="shared" si="12"/>
        <v>NFG</v>
      </c>
      <c r="AC22" s="102" t="str">
        <f t="shared" si="13"/>
        <v>Lower shift rate x 2.0</v>
      </c>
      <c r="AD22" s="103">
        <f ca="1">U22</f>
        <v>0.621</v>
      </c>
      <c r="AE22" s="87"/>
      <c r="AF22" s="87"/>
      <c r="AG22" s="87"/>
      <c r="AH22" s="87"/>
      <c r="AI22" s="87"/>
      <c r="AJ22" s="87"/>
      <c r="AK22" s="87"/>
    </row>
    <row r="23" spans="1:37" s="2" customFormat="1">
      <c r="B23" s="1"/>
      <c r="C23" s="1"/>
      <c r="D23" s="7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51"/>
      <c r="S23" s="51"/>
      <c r="T23" s="51"/>
      <c r="U23" s="57"/>
      <c r="V23" s="57"/>
      <c r="W23" s="57"/>
      <c r="X23" s="57"/>
      <c r="Y23" s="57"/>
      <c r="Z23" s="57"/>
      <c r="AA23" s="57"/>
      <c r="AB23" s="87"/>
      <c r="AC23" s="87"/>
      <c r="AD23" s="87"/>
      <c r="AE23" s="87"/>
      <c r="AF23" s="87"/>
      <c r="AG23" s="87"/>
      <c r="AH23" s="87"/>
      <c r="AI23" s="87"/>
      <c r="AJ23" s="87"/>
      <c r="AK23" s="87"/>
    </row>
    <row r="24" spans="1:3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51"/>
      <c r="S24" s="51"/>
      <c r="T24" s="51"/>
      <c r="U24" s="57"/>
      <c r="V24" s="57"/>
      <c r="W24" s="57"/>
      <c r="X24" s="57"/>
      <c r="Y24" s="57"/>
      <c r="Z24" s="57"/>
      <c r="AA24" s="57"/>
      <c r="AB24" s="87"/>
      <c r="AC24" s="87"/>
      <c r="AD24" s="87"/>
      <c r="AE24" s="87"/>
      <c r="AF24" s="87"/>
      <c r="AG24" s="87"/>
      <c r="AH24" s="87"/>
      <c r="AI24" s="87"/>
      <c r="AJ24" s="87"/>
      <c r="AK24" s="87"/>
    </row>
    <row r="25" spans="1:3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51"/>
      <c r="S25" s="51"/>
      <c r="T25" s="51"/>
      <c r="U25" s="57"/>
      <c r="V25" s="57"/>
      <c r="W25" s="57"/>
      <c r="X25" s="57"/>
      <c r="Y25" s="57"/>
      <c r="Z25" s="57"/>
      <c r="AA25" s="5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1:37" s="2" customFormat="1">
      <c r="A26" s="86" t="s">
        <v>28</v>
      </c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7"/>
      <c r="N26" s="7"/>
      <c r="O26" s="7"/>
      <c r="P26" s="7"/>
      <c r="R26" s="51"/>
      <c r="S26" s="51"/>
      <c r="T26" s="51"/>
      <c r="U26" s="57"/>
      <c r="V26" s="57"/>
      <c r="W26" s="57"/>
      <c r="X26" s="57"/>
      <c r="Y26" s="57"/>
      <c r="Z26" s="57"/>
      <c r="AA26" s="57"/>
      <c r="AB26" s="87"/>
      <c r="AC26" s="87"/>
      <c r="AD26" s="87"/>
      <c r="AE26" s="87"/>
      <c r="AF26" s="87"/>
      <c r="AG26" s="87"/>
      <c r="AH26" s="87"/>
      <c r="AI26" s="87"/>
      <c r="AJ26" s="87"/>
      <c r="AK26" s="87"/>
    </row>
    <row r="27" spans="1:37" s="2" customFormat="1">
      <c r="A27" s="2" t="s">
        <v>29</v>
      </c>
      <c r="J27" s="4"/>
      <c r="K27" s="4"/>
      <c r="L27" s="4"/>
      <c r="P27" s="7"/>
      <c r="R27" s="51"/>
      <c r="S27" s="70" t="s">
        <v>93</v>
      </c>
      <c r="T27" s="51"/>
      <c r="U27" s="57"/>
      <c r="V27" s="57"/>
      <c r="W27" s="57"/>
      <c r="X27" s="57"/>
      <c r="Y27" s="57"/>
      <c r="Z27" s="57"/>
      <c r="AA27" s="57"/>
      <c r="AB27" s="98" t="s">
        <v>93</v>
      </c>
      <c r="AC27" s="87"/>
      <c r="AD27" s="87"/>
      <c r="AE27" s="87"/>
      <c r="AF27" s="87"/>
      <c r="AG27" s="87"/>
      <c r="AH27" s="87"/>
      <c r="AI27" s="87"/>
      <c r="AJ27" s="87"/>
      <c r="AK27" s="87"/>
    </row>
    <row r="28" spans="1:37" s="2" customFormat="1">
      <c r="A28" s="24">
        <f ca="1">U28</f>
        <v>0.504</v>
      </c>
      <c r="B28" s="2" t="s">
        <v>30</v>
      </c>
      <c r="J28" s="4"/>
      <c r="K28" s="4"/>
      <c r="L28" s="4"/>
      <c r="P28" s="7"/>
      <c r="R28" s="51" t="s">
        <v>81</v>
      </c>
      <c r="S28" s="51" t="s">
        <v>86</v>
      </c>
      <c r="T28" s="51"/>
      <c r="U28" s="57" cm="1">
        <f t="array" aca="1" ref="U28" ca="1">ROUND(IF($R28="Y",VLOOKUP($S28,INDIRECT($S$2),U$5,0)*INDIRECT($R$1),VLOOKUP($S28,INDIRECT($S$2),U$5,0)),3)</f>
        <v>0.504</v>
      </c>
      <c r="V28" s="57"/>
      <c r="W28" s="57"/>
      <c r="X28" s="57"/>
      <c r="Y28" s="57"/>
      <c r="Z28" s="57"/>
      <c r="AA28" s="57"/>
      <c r="AB28" s="87" t="str">
        <f>S28</f>
        <v>10th Year</v>
      </c>
      <c r="AC28" s="87"/>
      <c r="AD28" s="91">
        <f ca="1">U28</f>
        <v>0.504</v>
      </c>
      <c r="AE28" s="87"/>
      <c r="AF28" s="87"/>
      <c r="AG28" s="87"/>
      <c r="AH28" s="87"/>
      <c r="AI28" s="87"/>
      <c r="AJ28" s="87"/>
      <c r="AK28" s="87"/>
    </row>
    <row r="29" spans="1:37" s="2" customFormat="1">
      <c r="A29" s="24">
        <f ca="1">U29</f>
        <v>0.64900000000000002</v>
      </c>
      <c r="B29" s="2" t="s">
        <v>31</v>
      </c>
      <c r="J29" s="4"/>
      <c r="K29" s="4"/>
      <c r="L29" s="4"/>
      <c r="P29" s="7"/>
      <c r="R29" s="51" t="s">
        <v>81</v>
      </c>
      <c r="S29" s="51" t="s">
        <v>87</v>
      </c>
      <c r="T29" s="51"/>
      <c r="U29" s="57" cm="1">
        <f t="array" aca="1" ref="U29" ca="1">ROUND(IF($R29="Y",VLOOKUP($S29,INDIRECT($S$2),U$5,0)*INDIRECT($R$1),VLOOKUP($S29,INDIRECT($S$2),U$5,0)),3)</f>
        <v>0.64900000000000002</v>
      </c>
      <c r="V29" s="57"/>
      <c r="W29" s="57"/>
      <c r="X29" s="57"/>
      <c r="Y29" s="57"/>
      <c r="Z29" s="57"/>
      <c r="AA29" s="57"/>
      <c r="AB29" s="87" t="str">
        <f t="shared" ref="AB29:AB31" si="14">S29</f>
        <v>15th Year</v>
      </c>
      <c r="AC29" s="87"/>
      <c r="AD29" s="91">
        <f t="shared" ref="AD29:AD31" ca="1" si="15">U29</f>
        <v>0.64900000000000002</v>
      </c>
      <c r="AE29" s="87"/>
      <c r="AF29" s="87"/>
      <c r="AG29" s="87"/>
      <c r="AH29" s="87"/>
      <c r="AI29" s="87"/>
      <c r="AJ29" s="87"/>
      <c r="AK29" s="87"/>
    </row>
    <row r="30" spans="1:37" s="2" customFormat="1">
      <c r="A30" s="24">
        <f ca="1">U30</f>
        <v>0.79500000000000004</v>
      </c>
      <c r="B30" s="2" t="s">
        <v>32</v>
      </c>
      <c r="J30" s="4"/>
      <c r="K30" s="4"/>
      <c r="L30" s="4"/>
      <c r="P30" s="7"/>
      <c r="R30" s="51" t="s">
        <v>81</v>
      </c>
      <c r="S30" s="51" t="s">
        <v>88</v>
      </c>
      <c r="T30" s="51"/>
      <c r="U30" s="57" cm="1">
        <f t="array" aca="1" ref="U30" ca="1">ROUND(IF($R30="Y",VLOOKUP($S30,INDIRECT($S$2),U$5,0)*INDIRECT($R$1),VLOOKUP($S30,INDIRECT($S$2),U$5,0)),3)</f>
        <v>0.79500000000000004</v>
      </c>
      <c r="V30" s="57"/>
      <c r="W30" s="57"/>
      <c r="X30" s="57"/>
      <c r="Y30" s="57"/>
      <c r="Z30" s="57"/>
      <c r="AA30" s="57"/>
      <c r="AB30" s="87" t="str">
        <f t="shared" si="14"/>
        <v>20th Year</v>
      </c>
      <c r="AC30" s="87"/>
      <c r="AD30" s="91">
        <f t="shared" ca="1" si="15"/>
        <v>0.79500000000000004</v>
      </c>
      <c r="AE30" s="87"/>
      <c r="AF30" s="87"/>
      <c r="AG30" s="87"/>
      <c r="AH30" s="87"/>
      <c r="AI30" s="87"/>
      <c r="AJ30" s="87"/>
      <c r="AK30" s="87"/>
    </row>
    <row r="31" spans="1:37" s="2" customFormat="1">
      <c r="A31" s="24">
        <f ca="1">U31</f>
        <v>0.94099999999999995</v>
      </c>
      <c r="B31" s="2" t="s">
        <v>33</v>
      </c>
      <c r="J31" s="4"/>
      <c r="K31" s="4"/>
      <c r="L31" s="4"/>
      <c r="P31" s="7"/>
      <c r="R31" s="51" t="s">
        <v>81</v>
      </c>
      <c r="S31" s="51" t="s">
        <v>89</v>
      </c>
      <c r="T31" s="51"/>
      <c r="U31" s="57" cm="1">
        <f t="array" aca="1" ref="U31" ca="1">ROUND(IF($R31="Y",VLOOKUP($S31,INDIRECT($S$2),U$5,0)*INDIRECT($R$1),VLOOKUP($S31,INDIRECT($S$2),U$5,0)),3)</f>
        <v>0.94099999999999995</v>
      </c>
      <c r="V31" s="57"/>
      <c r="W31" s="57"/>
      <c r="X31" s="57"/>
      <c r="Y31" s="57"/>
      <c r="Z31" s="57"/>
      <c r="AA31" s="57"/>
      <c r="AB31" s="87" t="str">
        <f t="shared" si="14"/>
        <v>25th Year</v>
      </c>
      <c r="AC31" s="87"/>
      <c r="AD31" s="91">
        <f t="shared" ca="1" si="15"/>
        <v>0.94099999999999995</v>
      </c>
      <c r="AE31" s="87"/>
      <c r="AF31" s="87"/>
      <c r="AG31" s="87"/>
      <c r="AH31" s="87"/>
      <c r="AI31" s="87"/>
      <c r="AJ31" s="87"/>
      <c r="AK31" s="87"/>
    </row>
    <row r="32" spans="1:37" s="2" customFormat="1">
      <c r="A32" s="1"/>
      <c r="B32" s="1"/>
      <c r="C32" s="1"/>
      <c r="D32" s="7"/>
      <c r="E32" s="1"/>
      <c r="F32" s="1"/>
      <c r="G32" s="1"/>
      <c r="H32" s="1"/>
      <c r="I32" s="1"/>
      <c r="J32" s="1"/>
      <c r="K32" s="1"/>
      <c r="L32" s="1"/>
      <c r="M32" s="7"/>
      <c r="N32" s="7"/>
      <c r="O32" s="1"/>
      <c r="P32" s="1"/>
      <c r="R32" s="51"/>
      <c r="S32" s="51"/>
      <c r="T32" s="51"/>
      <c r="U32" s="57"/>
      <c r="V32" s="57"/>
      <c r="W32" s="57"/>
      <c r="X32" s="57"/>
      <c r="Y32" s="57"/>
      <c r="Z32" s="57"/>
      <c r="AA32" s="57"/>
      <c r="AB32" s="87"/>
      <c r="AC32" s="87"/>
      <c r="AD32" s="87"/>
      <c r="AE32" s="87"/>
      <c r="AF32" s="87"/>
      <c r="AG32" s="87"/>
      <c r="AH32" s="87"/>
      <c r="AI32" s="87"/>
      <c r="AJ32" s="87"/>
      <c r="AK32" s="87"/>
    </row>
    <row r="33" spans="1:37" s="26" customFormat="1">
      <c r="A33" s="25" t="s">
        <v>35</v>
      </c>
      <c r="E33" s="27"/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63"/>
      <c r="S33" s="63"/>
      <c r="T33" s="63"/>
      <c r="U33" s="64"/>
      <c r="V33" s="64"/>
      <c r="W33" s="64"/>
      <c r="X33" s="64"/>
      <c r="Y33" s="64"/>
      <c r="Z33" s="64"/>
      <c r="AA33" s="64"/>
      <c r="AB33" s="94"/>
      <c r="AC33" s="94"/>
      <c r="AD33" s="94"/>
      <c r="AE33" s="94"/>
      <c r="AF33" s="94"/>
      <c r="AG33" s="94"/>
      <c r="AH33" s="94"/>
      <c r="AI33" s="94"/>
      <c r="AJ33" s="94"/>
      <c r="AK33" s="94"/>
    </row>
    <row r="34" spans="1:37" s="2" customFormat="1">
      <c r="A34" s="37" t="s">
        <v>57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51"/>
      <c r="S34" s="51"/>
      <c r="T34" s="51"/>
      <c r="U34" s="57"/>
      <c r="V34" s="57"/>
      <c r="W34" s="57"/>
      <c r="X34" s="57"/>
      <c r="Y34" s="57"/>
      <c r="Z34" s="57"/>
      <c r="AA34" s="57"/>
      <c r="AB34" s="87"/>
      <c r="AC34" s="87"/>
      <c r="AD34" s="87"/>
      <c r="AE34" s="87"/>
      <c r="AF34" s="87"/>
      <c r="AG34" s="87"/>
      <c r="AH34" s="87"/>
      <c r="AI34" s="87"/>
      <c r="AJ34" s="87"/>
      <c r="AK34" s="87"/>
    </row>
    <row r="35" spans="1:37" s="2" customFormat="1">
      <c r="A35" s="2" t="str">
        <f ca="1">"Dispatcher's hourly top-step rate of pay. Coaching/Training Premium = "&amp;TEXT(U35,"$0.000")&amp;" per hour assigned and coaching/training."</f>
        <v>Dispatcher's hourly top-step rate of pay. Coaching/Training Premium = $8.981 per hour assigned and coaching/training.</v>
      </c>
      <c r="G35" s="4"/>
      <c r="J35" s="34"/>
      <c r="K35" s="3"/>
      <c r="M35" s="4"/>
      <c r="N35" s="4"/>
      <c r="O35" s="4"/>
      <c r="P35" s="1"/>
      <c r="R35" s="51" t="s">
        <v>81</v>
      </c>
      <c r="S35" s="51" t="s">
        <v>140</v>
      </c>
      <c r="T35" s="51" t="s">
        <v>35</v>
      </c>
      <c r="U35" s="57">
        <f ca="1">AA7*0.2</f>
        <v>8.9811999999999994</v>
      </c>
      <c r="V35" s="51"/>
      <c r="W35" s="68" t="s">
        <v>96</v>
      </c>
      <c r="X35" s="57"/>
      <c r="Y35" s="57"/>
      <c r="Z35" s="57"/>
      <c r="AA35" s="57"/>
      <c r="AB35" s="87" t="str">
        <f t="shared" ref="AB35" si="16">S35</f>
        <v>COA</v>
      </c>
      <c r="AC35" s="87" t="str">
        <f t="shared" ref="AC35" si="17">T35</f>
        <v>Coaching/Training Premium</v>
      </c>
      <c r="AD35" s="91">
        <f t="shared" ref="AD35" ca="1" si="18">U35</f>
        <v>8.9811999999999994</v>
      </c>
      <c r="AE35" s="87"/>
      <c r="AF35" s="87"/>
      <c r="AG35" s="87"/>
      <c r="AH35" s="87"/>
      <c r="AI35" s="87"/>
      <c r="AJ35" s="87"/>
      <c r="AK35" s="87"/>
    </row>
    <row r="36" spans="1:37" s="2" customFormat="1">
      <c r="A36" s="3"/>
      <c r="E36" s="4"/>
      <c r="F36" s="4"/>
      <c r="G36" s="4"/>
      <c r="H36" s="4"/>
      <c r="J36" s="32"/>
      <c r="K36" s="3"/>
      <c r="L36" s="4"/>
      <c r="M36" s="4"/>
      <c r="N36" s="4"/>
      <c r="O36" s="4"/>
      <c r="P36" s="1"/>
      <c r="R36" s="51"/>
      <c r="S36" s="87" t="s">
        <v>174</v>
      </c>
      <c r="T36" s="87" t="s">
        <v>176</v>
      </c>
      <c r="U36" s="91">
        <f ca="1">U35*1.5</f>
        <v>13.471799999999998</v>
      </c>
      <c r="V36" s="57"/>
      <c r="W36" s="57"/>
      <c r="X36" s="57"/>
      <c r="Y36" s="57"/>
      <c r="Z36" s="57"/>
      <c r="AA36" s="5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pans="1:37" s="2" customFormat="1">
      <c r="A37" s="25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51"/>
      <c r="S37" s="87" t="s">
        <v>175</v>
      </c>
      <c r="T37" s="87" t="s">
        <v>177</v>
      </c>
      <c r="U37" s="91">
        <f ca="1">U35*2</f>
        <v>17.962399999999999</v>
      </c>
      <c r="V37" s="57"/>
      <c r="W37" s="57"/>
      <c r="X37" s="57"/>
      <c r="Y37" s="57"/>
      <c r="Z37" s="57"/>
      <c r="AA37" s="57"/>
      <c r="AB37" s="87"/>
      <c r="AC37" s="87"/>
      <c r="AD37" s="87"/>
      <c r="AE37" s="87"/>
      <c r="AF37" s="87"/>
      <c r="AG37" s="87"/>
      <c r="AH37" s="87"/>
      <c r="AI37" s="87"/>
      <c r="AJ37" s="87"/>
      <c r="AK37" s="87"/>
    </row>
    <row r="38" spans="1:37" s="2" customFormat="1">
      <c r="A38" s="40" t="s">
        <v>62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51"/>
      <c r="S38" s="51"/>
      <c r="T38" s="51"/>
      <c r="U38" s="57"/>
      <c r="V38" s="57"/>
      <c r="W38" s="57"/>
      <c r="X38" s="57"/>
      <c r="Y38" s="57"/>
      <c r="Z38" s="57"/>
      <c r="AA38" s="57"/>
      <c r="AB38" s="87"/>
      <c r="AC38" s="87"/>
      <c r="AD38" s="87"/>
      <c r="AE38" s="87"/>
      <c r="AF38" s="87"/>
      <c r="AG38" s="87"/>
      <c r="AH38" s="87"/>
      <c r="AI38" s="87"/>
      <c r="AJ38" s="87"/>
      <c r="AK38" s="87"/>
    </row>
    <row r="39" spans="1:37" s="2" customFormat="1">
      <c r="A39" s="2" t="s">
        <v>63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51"/>
      <c r="S39" s="51"/>
      <c r="T39" s="51"/>
      <c r="U39" s="57"/>
      <c r="V39" s="57"/>
      <c r="W39" s="57"/>
      <c r="X39" s="57"/>
      <c r="Y39" s="57"/>
      <c r="Z39" s="57"/>
      <c r="AA39" s="57"/>
      <c r="AB39" s="87"/>
      <c r="AC39" s="87"/>
      <c r="AD39" s="87"/>
      <c r="AE39" s="87"/>
      <c r="AF39" s="87"/>
      <c r="AG39" s="87"/>
      <c r="AH39" s="87"/>
      <c r="AI39" s="87"/>
      <c r="AJ39" s="87"/>
      <c r="AK39" s="87"/>
    </row>
    <row r="40" spans="1:37" s="2" customFormat="1">
      <c r="I40" s="73" t="s">
        <v>60</v>
      </c>
      <c r="J40" s="12" t="s">
        <v>71</v>
      </c>
      <c r="K40" s="12" t="s">
        <v>72</v>
      </c>
      <c r="L40" s="12" t="s">
        <v>73</v>
      </c>
      <c r="M40" s="12" t="s">
        <v>74</v>
      </c>
      <c r="N40" s="12" t="s">
        <v>75</v>
      </c>
      <c r="O40" s="12" t="s">
        <v>76</v>
      </c>
      <c r="P40" s="12" t="s">
        <v>77</v>
      </c>
      <c r="R40" s="51"/>
      <c r="S40" s="66"/>
      <c r="T40" s="66"/>
      <c r="U40" s="66"/>
      <c r="V40" s="61"/>
      <c r="W40" s="69" t="s">
        <v>98</v>
      </c>
      <c r="X40" s="66"/>
      <c r="Y40" s="66"/>
      <c r="Z40" s="51"/>
      <c r="AA40" s="51"/>
      <c r="AB40" s="87"/>
      <c r="AC40" s="87"/>
      <c r="AD40" s="87"/>
      <c r="AE40" s="87"/>
      <c r="AF40" s="87"/>
      <c r="AG40" s="87"/>
      <c r="AH40" s="87"/>
      <c r="AI40" s="87"/>
      <c r="AJ40" s="87"/>
      <c r="AK40" s="87"/>
    </row>
    <row r="41" spans="1:37">
      <c r="I41" s="74" t="s">
        <v>61</v>
      </c>
      <c r="J41" s="14">
        <f ca="1">ROUND(HLOOKUP(J40,$I$6:$O$7,2)*1.5,3)</f>
        <v>49.534999999999997</v>
      </c>
      <c r="K41" s="14">
        <f t="shared" ref="K41:P41" ca="1" si="19">ROUND(HLOOKUP(K40,$I$6:$O$7,2)*1.5,3)</f>
        <v>52.122</v>
      </c>
      <c r="L41" s="14">
        <f t="shared" ca="1" si="19"/>
        <v>54.854999999999997</v>
      </c>
      <c r="M41" s="14">
        <f t="shared" ca="1" si="19"/>
        <v>57.738</v>
      </c>
      <c r="N41" s="14">
        <f t="shared" ca="1" si="19"/>
        <v>60.795000000000002</v>
      </c>
      <c r="O41" s="14">
        <f t="shared" ca="1" si="19"/>
        <v>64.001999999999995</v>
      </c>
      <c r="P41" s="14">
        <f t="shared" ca="1" si="19"/>
        <v>67.358999999999995</v>
      </c>
      <c r="S41" s="67"/>
      <c r="T41" s="67"/>
      <c r="U41" s="67"/>
      <c r="V41" s="67"/>
      <c r="W41" s="67"/>
      <c r="X41" s="67"/>
      <c r="Y41" s="67"/>
    </row>
  </sheetData>
  <mergeCells count="1">
    <mergeCell ref="A1:O1"/>
  </mergeCells>
  <pageMargins left="0.25" right="0.25" top="0.5" bottom="0.25" header="0.5" footer="0.5"/>
  <pageSetup scale="49" orientation="landscape" horizontalDpi="4294967293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FE6C3-D071-4CAC-B53D-D6AD59483DB2}">
  <sheetPr>
    <pageSetUpPr fitToPage="1"/>
  </sheetPr>
  <dimension ref="A1:AK41"/>
  <sheetViews>
    <sheetView showGridLines="0" tabSelected="1" zoomScaleNormal="100" workbookViewId="0">
      <selection sqref="A1:O1"/>
    </sheetView>
  </sheetViews>
  <sheetFormatPr defaultColWidth="9.1328125" defaultRowHeight="15.75"/>
  <cols>
    <col min="1" max="1" width="11.86328125" style="29" customWidth="1"/>
    <col min="2" max="2" width="7" style="29" customWidth="1"/>
    <col min="3" max="3" width="4.86328125" style="29" bestFit="1" customWidth="1"/>
    <col min="4" max="4" width="34.1328125" style="29" bestFit="1" customWidth="1"/>
    <col min="5" max="5" width="4.59765625" style="29" bestFit="1" customWidth="1"/>
    <col min="6" max="6" width="7" style="29" bestFit="1" customWidth="1"/>
    <col min="7" max="7" width="6.86328125" style="29" bestFit="1" customWidth="1"/>
    <col min="8" max="8" width="5.73046875" style="29" bestFit="1" customWidth="1"/>
    <col min="9" max="9" width="8.59765625" style="29" customWidth="1"/>
    <col min="10" max="15" width="8.59765625" style="29" bestFit="1" customWidth="1"/>
    <col min="16" max="16" width="8.3984375" style="29" bestFit="1" customWidth="1"/>
    <col min="17" max="17" width="9.1328125" style="29"/>
    <col min="18" max="18" width="16.73046875" style="87" hidden="1" customWidth="1"/>
    <col min="19" max="19" width="15.73046875" style="87" hidden="1" customWidth="1"/>
    <col min="20" max="20" width="43" style="87" hidden="1" customWidth="1"/>
    <col min="21" max="22" width="8.3984375" style="91" hidden="1" customWidth="1"/>
    <col min="23" max="23" width="10.265625" style="91" hidden="1" customWidth="1"/>
    <col min="24" max="27" width="8.3984375" style="91" hidden="1" customWidth="1"/>
    <col min="28" max="28" width="15.73046875" style="51" hidden="1" customWidth="1"/>
    <col min="29" max="29" width="30.59765625" style="51" hidden="1" customWidth="1"/>
    <col min="30" max="30" width="7.265625" style="51" hidden="1" customWidth="1"/>
    <col min="31" max="37" width="8.3984375" style="51" hidden="1" customWidth="1"/>
    <col min="38" max="16384" width="9.1328125" style="29"/>
  </cols>
  <sheetData>
    <row r="1" spans="1:3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87" t="s">
        <v>160</v>
      </c>
      <c r="S1" s="109">
        <v>1.04</v>
      </c>
      <c r="T1" s="87"/>
      <c r="U1" s="91"/>
      <c r="V1" s="91"/>
      <c r="W1" s="91"/>
      <c r="X1" s="91"/>
      <c r="Y1" s="91"/>
      <c r="Z1" s="91"/>
      <c r="AA1" s="91"/>
      <c r="AB1" s="51"/>
      <c r="AC1" s="51"/>
      <c r="AD1" s="51"/>
      <c r="AE1" s="51"/>
      <c r="AF1" s="51"/>
      <c r="AG1" s="51"/>
      <c r="AH1" s="51"/>
      <c r="AI1" s="51"/>
      <c r="AJ1" s="51"/>
      <c r="AK1" s="51"/>
    </row>
    <row r="2" spans="1:37" s="2" customFormat="1">
      <c r="A2" s="2" t="s">
        <v>167</v>
      </c>
      <c r="C2" s="3"/>
      <c r="D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87" t="s">
        <v>119</v>
      </c>
      <c r="S2" s="110" t="s">
        <v>159</v>
      </c>
      <c r="T2" s="87"/>
      <c r="U2" s="91"/>
      <c r="V2" s="91"/>
      <c r="W2" s="91"/>
      <c r="X2" s="91"/>
      <c r="Y2" s="91"/>
      <c r="Z2" s="91"/>
      <c r="AA2" s="9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s="2" customFormat="1">
      <c r="A3" s="2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87"/>
      <c r="S3" s="87"/>
      <c r="T3" s="87"/>
      <c r="U3" s="91"/>
      <c r="V3" s="91"/>
      <c r="W3" s="91"/>
      <c r="X3" s="91"/>
      <c r="Y3" s="91"/>
      <c r="Z3" s="91"/>
      <c r="AA3" s="9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s="2" customFormat="1" ht="15" customHeight="1">
      <c r="A4" s="126" t="s">
        <v>178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87"/>
      <c r="S4" s="87"/>
      <c r="T4" s="87"/>
      <c r="U4" s="91"/>
      <c r="V4" s="91"/>
      <c r="W4" s="91"/>
      <c r="X4" s="91"/>
      <c r="Y4" s="91"/>
      <c r="Z4" s="91"/>
      <c r="AA4" s="91"/>
      <c r="AB4" s="122" t="s">
        <v>133</v>
      </c>
      <c r="AC4" s="51"/>
      <c r="AD4" s="51"/>
      <c r="AE4" s="51"/>
      <c r="AF4" s="51"/>
      <c r="AG4" s="51"/>
      <c r="AH4" s="51"/>
      <c r="AI4" s="51"/>
      <c r="AJ4" s="51"/>
      <c r="AK4" s="51"/>
    </row>
    <row r="5" spans="1:37" s="2" customFormat="1" ht="15" customHeight="1">
      <c r="A5" s="107"/>
      <c r="B5" s="3"/>
      <c r="C5" s="4"/>
      <c r="D5" s="107"/>
      <c r="E5" s="107"/>
      <c r="F5" s="107"/>
      <c r="G5" s="9"/>
      <c r="H5" s="9"/>
      <c r="I5" s="10"/>
      <c r="J5" s="9"/>
      <c r="K5" s="9"/>
      <c r="L5" s="9"/>
      <c r="M5" s="9"/>
      <c r="N5" s="9"/>
      <c r="O5" s="4"/>
      <c r="P5" s="7"/>
      <c r="R5" s="87"/>
      <c r="S5" s="87"/>
      <c r="T5" s="87"/>
      <c r="U5" s="111">
        <v>3</v>
      </c>
      <c r="V5" s="111">
        <f>U5+1</f>
        <v>4</v>
      </c>
      <c r="W5" s="111">
        <f t="shared" ref="W5:AA5" si="0">V5+1</f>
        <v>5</v>
      </c>
      <c r="X5" s="111">
        <f t="shared" si="0"/>
        <v>6</v>
      </c>
      <c r="Y5" s="111">
        <f t="shared" si="0"/>
        <v>7</v>
      </c>
      <c r="Z5" s="111">
        <f t="shared" si="0"/>
        <v>8</v>
      </c>
      <c r="AA5" s="111">
        <f t="shared" si="0"/>
        <v>9</v>
      </c>
      <c r="AB5" s="51"/>
      <c r="AC5" s="51"/>
      <c r="AD5" s="51"/>
      <c r="AE5" s="51"/>
      <c r="AF5" s="51"/>
      <c r="AG5" s="51"/>
      <c r="AH5" s="51"/>
      <c r="AI5" s="51"/>
      <c r="AJ5" s="51"/>
      <c r="AK5" s="51"/>
    </row>
    <row r="6" spans="1:37" s="2" customFormat="1" ht="31.5" customHeight="1">
      <c r="A6" s="45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68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87" t="s">
        <v>80</v>
      </c>
      <c r="S6" s="124" t="s">
        <v>78</v>
      </c>
      <c r="T6" s="89" t="s">
        <v>14</v>
      </c>
      <c r="U6" s="90" t="s">
        <v>71</v>
      </c>
      <c r="V6" s="90" t="s">
        <v>72</v>
      </c>
      <c r="W6" s="90" t="s">
        <v>73</v>
      </c>
      <c r="X6" s="90" t="s">
        <v>74</v>
      </c>
      <c r="Y6" s="90" t="s">
        <v>75</v>
      </c>
      <c r="Z6" s="90" t="s">
        <v>76</v>
      </c>
      <c r="AA6" s="90" t="s">
        <v>77</v>
      </c>
      <c r="AB6" s="52" t="s">
        <v>78</v>
      </c>
      <c r="AC6" s="53" t="s">
        <v>14</v>
      </c>
      <c r="AD6" s="52" t="s">
        <v>68</v>
      </c>
      <c r="AE6" s="54" t="s">
        <v>71</v>
      </c>
      <c r="AF6" s="54" t="s">
        <v>72</v>
      </c>
      <c r="AG6" s="54" t="s">
        <v>73</v>
      </c>
      <c r="AH6" s="54" t="s">
        <v>74</v>
      </c>
      <c r="AI6" s="54" t="s">
        <v>75</v>
      </c>
      <c r="AJ6" s="54" t="s">
        <v>76</v>
      </c>
      <c r="AK6" s="54" t="s">
        <v>77</v>
      </c>
    </row>
    <row r="7" spans="1:37" s="2" customFormat="1">
      <c r="A7" s="4" t="s">
        <v>113</v>
      </c>
      <c r="B7" s="4" t="s">
        <v>19</v>
      </c>
      <c r="C7" s="4">
        <v>2</v>
      </c>
      <c r="D7" s="7" t="s">
        <v>165</v>
      </c>
      <c r="E7" s="4">
        <v>343</v>
      </c>
      <c r="F7" s="46" t="s">
        <v>157</v>
      </c>
      <c r="G7" s="4">
        <v>7</v>
      </c>
      <c r="H7" s="4" t="s">
        <v>20</v>
      </c>
      <c r="I7" s="14">
        <f ca="1">U7</f>
        <v>32.768999999999998</v>
      </c>
      <c r="J7" s="14">
        <f t="shared" ref="J7:O7" ca="1" si="1">V7</f>
        <v>34.499000000000002</v>
      </c>
      <c r="K7" s="14">
        <f t="shared" ca="1" si="1"/>
        <v>36.316000000000003</v>
      </c>
      <c r="L7" s="14">
        <f t="shared" ca="1" si="1"/>
        <v>38.222000000000001</v>
      </c>
      <c r="M7" s="14">
        <f t="shared" ca="1" si="1"/>
        <v>40.235999999999997</v>
      </c>
      <c r="N7" s="14">
        <f t="shared" ca="1" si="1"/>
        <v>42.350999999999999</v>
      </c>
      <c r="O7" s="14">
        <f t="shared" ca="1" si="1"/>
        <v>44.575000000000003</v>
      </c>
      <c r="P7" s="7"/>
      <c r="R7" s="87" t="s">
        <v>81</v>
      </c>
      <c r="S7" s="110" t="s">
        <v>113</v>
      </c>
      <c r="T7" s="92" t="str">
        <f>D7</f>
        <v>Public Safety Telecommunicators II</v>
      </c>
      <c r="U7" s="91" cm="1">
        <f t="array" aca="1" ref="U7" ca="1">ROUND(IF($R7="Y",VLOOKUP($S7,INDIRECT($S$2),U$5,0)*INDIRECT($R$1),VLOOKUP($S7,INDIRECT($S$2),U$5,0)),3)</f>
        <v>32.768999999999998</v>
      </c>
      <c r="V7" s="91" cm="1">
        <f t="array" aca="1" ref="V7" ca="1">ROUND(IF($R7="Y",VLOOKUP($S7,INDIRECT($S$2),V$5,0)*INDIRECT($R$1),VLOOKUP($S7,INDIRECT($S$2),V$5,0)),3)</f>
        <v>34.499000000000002</v>
      </c>
      <c r="W7" s="119" cm="1">
        <f t="array" aca="1" ref="W7" ca="1">ROUND(IF($R7="Y",VLOOKUP($S7,INDIRECT($S$2),W$5,0)*INDIRECT($R$1),VLOOKUP($S7,INDIRECT($S$2),W$5,0)),3)</f>
        <v>36.316000000000003</v>
      </c>
      <c r="X7" s="91" cm="1">
        <f t="array" aca="1" ref="X7" ca="1">ROUND(IF($R7="Y",VLOOKUP($S7,INDIRECT($S$2),X$5,0)*INDIRECT($R$1),VLOOKUP($S7,INDIRECT($S$2),X$5,0)),3)</f>
        <v>38.222000000000001</v>
      </c>
      <c r="Y7" s="91" cm="1">
        <f t="array" aca="1" ref="Y7" ca="1">ROUND(IF($R7="Y",VLOOKUP($S7,INDIRECT($S$2),Y$5,0)*INDIRECT($R$1),VLOOKUP($S7,INDIRECT($S$2),Y$5,0)),3)</f>
        <v>40.235999999999997</v>
      </c>
      <c r="Z7" s="91" cm="1">
        <f t="array" aca="1" ref="Z7" ca="1">ROUND(IF($R7="Y",VLOOKUP($S7,INDIRECT($S$2),Z$5,0)*INDIRECT($R$1),VLOOKUP($S7,INDIRECT($S$2),Z$5,0)),3)</f>
        <v>42.350999999999999</v>
      </c>
      <c r="AA7" s="91" cm="1">
        <f t="array" aca="1" ref="AA7" ca="1">ROUND(IF($R7="Y",VLOOKUP($S7,INDIRECT($S$2),AA$5,0)*INDIRECT($R$1),VLOOKUP($S7,INDIRECT($S$2),AA$5,0)),3)</f>
        <v>44.575000000000003</v>
      </c>
      <c r="AB7" s="51" t="str">
        <f>S7</f>
        <v>00020C</v>
      </c>
      <c r="AC7" s="51" t="str">
        <f>T7</f>
        <v>Public Safety Telecommunicators II</v>
      </c>
      <c r="AD7" s="123" t="str">
        <f>F7</f>
        <v>03</v>
      </c>
      <c r="AE7" s="57">
        <f ca="1">ROUND(U7,3)</f>
        <v>32.768999999999998</v>
      </c>
      <c r="AF7" s="57">
        <f t="shared" ref="AF7:AK7" ca="1" si="2">ROUND(V7,3)</f>
        <v>34.499000000000002</v>
      </c>
      <c r="AG7" s="57">
        <f t="shared" ca="1" si="2"/>
        <v>36.316000000000003</v>
      </c>
      <c r="AH7" s="57">
        <f t="shared" ca="1" si="2"/>
        <v>38.222000000000001</v>
      </c>
      <c r="AI7" s="57">
        <f t="shared" ca="1" si="2"/>
        <v>40.235999999999997</v>
      </c>
      <c r="AJ7" s="57">
        <f t="shared" ca="1" si="2"/>
        <v>42.350999999999999</v>
      </c>
      <c r="AK7" s="57">
        <f t="shared" ca="1" si="2"/>
        <v>44.575000000000003</v>
      </c>
    </row>
    <row r="8" spans="1:37" s="2" customFormat="1">
      <c r="A8" s="4" t="s">
        <v>21</v>
      </c>
      <c r="B8" s="4" t="s">
        <v>19</v>
      </c>
      <c r="C8" s="4">
        <v>2</v>
      </c>
      <c r="D8" s="7" t="s">
        <v>166</v>
      </c>
      <c r="E8" s="4">
        <v>363</v>
      </c>
      <c r="F8" s="46" t="s">
        <v>158</v>
      </c>
      <c r="G8" s="4">
        <v>8</v>
      </c>
      <c r="H8" s="4" t="s">
        <v>20</v>
      </c>
      <c r="I8" s="14">
        <f ca="1">U8</f>
        <v>34.344000000000001</v>
      </c>
      <c r="J8" s="14">
        <f t="shared" ref="J8:O8" ca="1" si="3">V8</f>
        <v>36.137999999999998</v>
      </c>
      <c r="K8" s="14">
        <f t="shared" ca="1" si="3"/>
        <v>38.033000000000001</v>
      </c>
      <c r="L8" s="14">
        <f t="shared" ca="1" si="3"/>
        <v>40.031999999999996</v>
      </c>
      <c r="M8" s="14">
        <f t="shared" ca="1" si="3"/>
        <v>42.151000000000003</v>
      </c>
      <c r="N8" s="14">
        <f t="shared" ca="1" si="3"/>
        <v>44.375</v>
      </c>
      <c r="O8" s="14">
        <f t="shared" ca="1" si="3"/>
        <v>46.701999999999998</v>
      </c>
      <c r="P8" s="7"/>
      <c r="R8" s="87" t="s">
        <v>81</v>
      </c>
      <c r="S8" s="110" t="s">
        <v>21</v>
      </c>
      <c r="T8" s="92" t="str">
        <f>D8</f>
        <v>Public Safety Telecommunicators III</v>
      </c>
      <c r="U8" s="91" cm="1">
        <f t="array" aca="1" ref="U8" ca="1">ROUND(IF($R8="Y",VLOOKUP($S8,INDIRECT($S$2),U$5,0)*INDIRECT($R$1),VLOOKUP($S8,INDIRECT($S$2),U$5,0)),3)</f>
        <v>34.344000000000001</v>
      </c>
      <c r="V8" s="91" cm="1">
        <f t="array" aca="1" ref="V8" ca="1">ROUND(IF($R8="Y",VLOOKUP($S8,INDIRECT($S$2),V$5,0)*INDIRECT($R$1),VLOOKUP($S8,INDIRECT($S$2),V$5,0)),3)</f>
        <v>36.137999999999998</v>
      </c>
      <c r="W8" s="119" cm="1">
        <f t="array" aca="1" ref="W8" ca="1">ROUND(IF($R8="Y",VLOOKUP($S8,INDIRECT($S$2),W$5,0)*INDIRECT($R$1),VLOOKUP($S8,INDIRECT($S$2),W$5,0)),3)</f>
        <v>38.033000000000001</v>
      </c>
      <c r="X8" s="91" cm="1">
        <f t="array" aca="1" ref="X8" ca="1">ROUND(IF($R8="Y",VLOOKUP($S8,INDIRECT($S$2),X$5,0)*INDIRECT($R$1),VLOOKUP($S8,INDIRECT($S$2),X$5,0)),3)</f>
        <v>40.031999999999996</v>
      </c>
      <c r="Y8" s="91" cm="1">
        <f t="array" aca="1" ref="Y8" ca="1">ROUND(IF($R8="Y",VLOOKUP($S8,INDIRECT($S$2),Y$5,0)*INDIRECT($R$1),VLOOKUP($S8,INDIRECT($S$2),Y$5,0)),3)</f>
        <v>42.151000000000003</v>
      </c>
      <c r="Z8" s="91" cm="1">
        <f t="array" aca="1" ref="Z8" ca="1">ROUND(IF($R8="Y",VLOOKUP($S8,INDIRECT($S$2),Z$5,0)*INDIRECT($R$1),VLOOKUP($S8,INDIRECT($S$2),Z$5,0)),3)</f>
        <v>44.375</v>
      </c>
      <c r="AA8" s="91" cm="1">
        <f t="array" aca="1" ref="AA8" ca="1">ROUND(IF($R8="Y",VLOOKUP($S8,INDIRECT($S$2),AA$5,0)*INDIRECT($R$1),VLOOKUP($S8,INDIRECT($S$2),AA$5,0)),3)</f>
        <v>46.701999999999998</v>
      </c>
      <c r="AB8" s="51" t="str">
        <f>S8</f>
        <v>00011C</v>
      </c>
      <c r="AC8" s="51" t="str">
        <f>T8</f>
        <v>Public Safety Telecommunicators III</v>
      </c>
      <c r="AD8" s="123" t="str">
        <f>F8</f>
        <v>04</v>
      </c>
      <c r="AE8" s="57">
        <f ca="1">ROUND(U8,3)</f>
        <v>34.344000000000001</v>
      </c>
      <c r="AF8" s="57">
        <f t="shared" ref="AF8:AK8" ca="1" si="4">ROUND(V8,3)</f>
        <v>36.137999999999998</v>
      </c>
      <c r="AG8" s="57">
        <f t="shared" ca="1" si="4"/>
        <v>38.033000000000001</v>
      </c>
      <c r="AH8" s="57">
        <f t="shared" ca="1" si="4"/>
        <v>40.031999999999996</v>
      </c>
      <c r="AI8" s="57">
        <f t="shared" ca="1" si="4"/>
        <v>42.151000000000003</v>
      </c>
      <c r="AJ8" s="57">
        <f t="shared" ca="1" si="4"/>
        <v>44.375</v>
      </c>
      <c r="AK8" s="57">
        <f t="shared" ca="1" si="4"/>
        <v>46.701999999999998</v>
      </c>
    </row>
    <row r="9" spans="1:37" s="7" customFormat="1" ht="16.149999999999999" thickBot="1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R9" s="112"/>
      <c r="S9" s="112"/>
      <c r="T9" s="112"/>
      <c r="U9" s="113"/>
      <c r="V9" s="113"/>
      <c r="W9" s="113"/>
      <c r="X9" s="113"/>
      <c r="Y9" s="113"/>
      <c r="Z9" s="113"/>
      <c r="AA9" s="113"/>
      <c r="AB9" s="56"/>
      <c r="AC9" s="56"/>
      <c r="AD9" s="56"/>
      <c r="AE9" s="56"/>
      <c r="AF9" s="56"/>
      <c r="AG9" s="56"/>
      <c r="AH9" s="56"/>
      <c r="AI9" s="56"/>
      <c r="AJ9" s="56"/>
      <c r="AK9" s="56"/>
    </row>
    <row r="10" spans="1:37" s="2" customFormat="1">
      <c r="A10" s="107" t="s">
        <v>56</v>
      </c>
      <c r="B10" s="4"/>
      <c r="C10" s="4"/>
      <c r="E10" s="4"/>
      <c r="F10" s="4"/>
      <c r="G10" s="4"/>
      <c r="H10" s="4"/>
      <c r="I10" s="4"/>
      <c r="J10" s="4"/>
      <c r="K10" s="4"/>
      <c r="L10" s="4"/>
      <c r="P10" s="7"/>
      <c r="R10" s="87"/>
      <c r="S10" s="87"/>
      <c r="T10" s="87"/>
      <c r="U10" s="91"/>
      <c r="V10" s="91"/>
      <c r="W10" s="91"/>
      <c r="X10" s="91"/>
      <c r="Y10" s="91"/>
      <c r="Z10" s="91"/>
      <c r="AA10" s="91"/>
      <c r="AB10" s="51"/>
      <c r="AC10" s="51"/>
      <c r="AD10" s="51"/>
      <c r="AE10" s="51"/>
      <c r="AF10" s="51"/>
      <c r="AG10" s="51"/>
      <c r="AH10" s="51"/>
      <c r="AI10" s="51"/>
      <c r="AJ10" s="51"/>
      <c r="AK10" s="51"/>
    </row>
    <row r="11" spans="1:37" s="2" customFormat="1">
      <c r="A11" s="2" t="str">
        <f ca="1">"In addition to their base rate of pay, employees shall be paid "&amp;TEXT(U11,"$0.000")&amp; " per hour for all hours worked on any shift that begins"</f>
        <v>In addition to their base rate of pay, employees shall be paid $0.646 per hour for all hours worked on any shift that begins</v>
      </c>
      <c r="B11" s="4"/>
      <c r="C11" s="4"/>
      <c r="E11" s="4"/>
      <c r="F11" s="4"/>
      <c r="G11" s="4"/>
      <c r="I11" s="36"/>
      <c r="J11" s="3"/>
      <c r="K11" s="3"/>
      <c r="L11" s="3"/>
      <c r="M11" s="3"/>
      <c r="N11" s="3"/>
      <c r="P11" s="7"/>
      <c r="R11" s="87" t="s">
        <v>81</v>
      </c>
      <c r="S11" s="114" t="s">
        <v>82</v>
      </c>
      <c r="T11" s="114" t="s">
        <v>83</v>
      </c>
      <c r="U11" s="91" cm="1">
        <f t="array" aca="1" ref="U11" ca="1">ROUND(IF($R11="Y",VLOOKUP($S11,INDIRECT($S$2),U$5,0)*INDIRECT($R$1),VLOOKUP($S11,INDIRECT($S$2),U$5,0)),3)</f>
        <v>0.64600000000000002</v>
      </c>
      <c r="V11" s="91"/>
      <c r="W11" s="91"/>
      <c r="X11" s="115"/>
      <c r="Y11" s="91"/>
      <c r="Z11" s="91"/>
      <c r="AA11" s="91"/>
      <c r="AB11" s="51" t="str">
        <f>S11</f>
        <v>CMNEVE</v>
      </c>
      <c r="AC11" s="51" t="str">
        <f>T11</f>
        <v>TL-Evening Shift Premium-CMN</v>
      </c>
      <c r="AD11" s="57">
        <f ca="1">U11</f>
        <v>0.64600000000000002</v>
      </c>
      <c r="AE11" s="51"/>
      <c r="AF11" s="51"/>
      <c r="AG11" s="51"/>
      <c r="AH11" s="51"/>
      <c r="AI11" s="51"/>
      <c r="AJ11" s="51"/>
      <c r="AK11" s="51"/>
    </row>
    <row r="12" spans="1:37" s="2" customFormat="1">
      <c r="A12" s="2" t="s">
        <v>53</v>
      </c>
      <c r="P12" s="7"/>
      <c r="R12" s="87"/>
      <c r="S12" s="87"/>
      <c r="T12" s="87"/>
      <c r="U12" s="91"/>
      <c r="V12" s="91"/>
      <c r="W12" s="91"/>
      <c r="X12" s="91"/>
      <c r="Y12" s="91"/>
      <c r="Z12" s="91"/>
      <c r="AA12" s="91"/>
      <c r="AB12" s="51"/>
      <c r="AC12" s="51"/>
      <c r="AD12" s="57"/>
      <c r="AE12" s="51"/>
      <c r="AF12" s="51"/>
      <c r="AG12" s="51"/>
      <c r="AH12" s="51"/>
      <c r="AI12" s="51"/>
      <c r="AJ12" s="51"/>
      <c r="AK12" s="51"/>
    </row>
    <row r="13" spans="1:37" s="2" customFormat="1">
      <c r="P13" s="7"/>
      <c r="R13" s="87"/>
      <c r="S13" s="87"/>
      <c r="T13" s="87"/>
      <c r="U13" s="91"/>
      <c r="V13" s="91"/>
      <c r="W13" s="91"/>
      <c r="X13" s="91"/>
      <c r="Y13" s="91"/>
      <c r="Z13" s="91"/>
      <c r="AA13" s="91"/>
      <c r="AB13" s="51"/>
      <c r="AC13" s="51"/>
      <c r="AD13" s="57"/>
      <c r="AE13" s="51"/>
      <c r="AF13" s="51"/>
      <c r="AG13" s="51"/>
      <c r="AH13" s="51"/>
      <c r="AI13" s="51"/>
      <c r="AJ13" s="51"/>
      <c r="AK13" s="51"/>
    </row>
    <row r="14" spans="1:37" s="2" customFormat="1">
      <c r="A14" s="2" t="str">
        <f ca="1">"In addition to their base rate of pay, employees shall be paid "&amp;TEXT(U14,"$0.000")&amp;" per hour for all hours worked on any shift that begins"</f>
        <v>In addition to their base rate of pay, employees shall be paid $1.535 per hour for all hours worked on any shift that begins</v>
      </c>
      <c r="I14" s="36"/>
      <c r="P14" s="7"/>
      <c r="R14" s="87" t="s">
        <v>81</v>
      </c>
      <c r="S14" s="114" t="s">
        <v>84</v>
      </c>
      <c r="T14" s="114" t="s">
        <v>85</v>
      </c>
      <c r="U14" s="91" cm="1">
        <f t="array" aca="1" ref="U14" ca="1">ROUND(IF($R14="Y",VLOOKUP($S14,INDIRECT($S$2),U$5,0)*INDIRECT($R$1),VLOOKUP($S14,INDIRECT($S$2),U$5,0)),3)</f>
        <v>1.5349999999999999</v>
      </c>
      <c r="V14" s="91"/>
      <c r="W14" s="91"/>
      <c r="X14" s="91"/>
      <c r="Y14" s="91"/>
      <c r="Z14" s="91"/>
      <c r="AA14" s="91"/>
      <c r="AB14" s="51" t="str">
        <f t="shared" ref="AB14:AD14" si="5">S14</f>
        <v>CMNNIT</v>
      </c>
      <c r="AC14" s="51" t="str">
        <f t="shared" si="5"/>
        <v>TL-Night Shift Premium-CMN</v>
      </c>
      <c r="AD14" s="57">
        <f t="shared" ca="1" si="5"/>
        <v>1.5349999999999999</v>
      </c>
      <c r="AE14" s="51"/>
      <c r="AF14" s="51"/>
      <c r="AG14" s="51"/>
      <c r="AH14" s="51"/>
      <c r="AI14" s="51"/>
      <c r="AJ14" s="51"/>
      <c r="AK14" s="51"/>
    </row>
    <row r="15" spans="1:37" s="2" customFormat="1">
      <c r="A15" s="2" t="s">
        <v>95</v>
      </c>
      <c r="B15" s="4"/>
      <c r="C15" s="4"/>
      <c r="E15" s="4"/>
      <c r="F15" s="4"/>
      <c r="G15" s="4"/>
      <c r="H15" s="4"/>
      <c r="I15" s="4"/>
      <c r="J15" s="4"/>
      <c r="K15" s="4"/>
      <c r="L15" s="4"/>
      <c r="P15" s="7"/>
      <c r="R15" s="87"/>
      <c r="S15" s="87"/>
      <c r="T15" s="87"/>
      <c r="U15" s="91"/>
      <c r="V15" s="91"/>
      <c r="W15" s="91"/>
      <c r="X15" s="91"/>
      <c r="Y15" s="91"/>
      <c r="Z15" s="91"/>
      <c r="AA15" s="91"/>
      <c r="AB15" s="51"/>
      <c r="AC15" s="51"/>
      <c r="AD15" s="51"/>
      <c r="AE15" s="51"/>
      <c r="AF15" s="51"/>
      <c r="AG15" s="51"/>
      <c r="AH15" s="51"/>
      <c r="AI15" s="51"/>
      <c r="AJ15" s="51"/>
      <c r="AK15" s="51"/>
    </row>
    <row r="16" spans="1:37" s="2" customFormat="1">
      <c r="B16" s="4"/>
      <c r="C16" s="4"/>
      <c r="E16" s="4"/>
      <c r="F16" s="4"/>
      <c r="G16" s="4"/>
      <c r="H16" s="4"/>
      <c r="I16" s="4"/>
      <c r="J16" s="4"/>
      <c r="K16" s="4"/>
      <c r="L16" s="4"/>
      <c r="P16" s="7"/>
      <c r="R16" s="87"/>
      <c r="S16" s="98" t="s">
        <v>145</v>
      </c>
      <c r="T16" s="87"/>
      <c r="U16" s="91"/>
      <c r="V16" s="91"/>
      <c r="W16" s="91"/>
      <c r="X16" s="91"/>
      <c r="Y16" s="91"/>
      <c r="Z16" s="91"/>
      <c r="AA16" s="91"/>
      <c r="AB16" s="70" t="s">
        <v>145</v>
      </c>
      <c r="AC16" s="51"/>
      <c r="AD16" s="51"/>
      <c r="AE16" s="51"/>
      <c r="AF16" s="51"/>
      <c r="AG16" s="51"/>
      <c r="AH16" s="51"/>
      <c r="AI16" s="51"/>
      <c r="AJ16" s="51"/>
      <c r="AK16" s="51"/>
    </row>
    <row r="17" spans="1:37" s="2" customFormat="1">
      <c r="A17" s="2" t="s">
        <v>24</v>
      </c>
      <c r="P17" s="7"/>
      <c r="R17" s="87" t="s">
        <v>81</v>
      </c>
      <c r="S17" s="87" t="s">
        <v>137</v>
      </c>
      <c r="T17" s="116" t="s">
        <v>147</v>
      </c>
      <c r="U17" s="91" cm="1">
        <f t="array" aca="1" ref="U17" ca="1">ROUND(IF($R17="Y",VLOOKUP($S17,INDIRECT($S$2),U$5,0)*INDIRECT($R$1),VLOOKUP($S17,INDIRECT($S$2),U$5,0)),3)</f>
        <v>1.5349999999999999</v>
      </c>
      <c r="V17" s="91"/>
      <c r="W17" s="91"/>
      <c r="X17" s="91"/>
      <c r="Y17" s="91"/>
      <c r="Z17" s="91"/>
      <c r="AA17" s="91"/>
      <c r="AB17" s="51" t="str">
        <f>S17</f>
        <v>NBF</v>
      </c>
      <c r="AC17" s="65" t="str">
        <f>T17</f>
        <v>Higher shift rate</v>
      </c>
      <c r="AD17" s="57">
        <f ca="1">U17</f>
        <v>1.5349999999999999</v>
      </c>
      <c r="AE17" s="51"/>
      <c r="AF17" s="51"/>
      <c r="AG17" s="51"/>
      <c r="AH17" s="51"/>
      <c r="AI17" s="51"/>
      <c r="AJ17" s="51"/>
      <c r="AK17" s="51"/>
    </row>
    <row r="18" spans="1:37" s="2" customFormat="1">
      <c r="A18" s="2" t="s">
        <v>25</v>
      </c>
      <c r="P18" s="7"/>
      <c r="R18" s="87" t="s">
        <v>81</v>
      </c>
      <c r="S18" s="87" t="s">
        <v>138</v>
      </c>
      <c r="T18" s="87" t="s">
        <v>148</v>
      </c>
      <c r="U18" s="91" cm="1">
        <f t="array" aca="1" ref="U18" ca="1">ROUND(IF($R18="Y",VLOOKUP($S18,INDIRECT($S$2),U$5,0)*INDIRECT($R$1),VLOOKUP($S18,INDIRECT($S$2),U$5,0)),3)</f>
        <v>1.5349999999999999</v>
      </c>
      <c r="V18" s="91"/>
      <c r="W18" s="91"/>
      <c r="X18" s="91"/>
      <c r="Y18" s="91"/>
      <c r="Z18" s="91"/>
      <c r="AA18" s="91"/>
      <c r="AB18" s="51" t="str">
        <f t="shared" ref="AB18:AC19" si="6">S18</f>
        <v>NBT</v>
      </c>
      <c r="AC18" s="65" t="str">
        <f t="shared" si="6"/>
        <v>Higher shift rate x 1.5</v>
      </c>
      <c r="AD18" s="57">
        <f t="shared" ref="AD18:AD24" ca="1" si="7">U18</f>
        <v>1.5349999999999999</v>
      </c>
      <c r="AE18" s="51"/>
      <c r="AF18" s="51"/>
      <c r="AG18" s="51"/>
      <c r="AH18" s="51"/>
      <c r="AI18" s="51"/>
      <c r="AJ18" s="51"/>
      <c r="AK18" s="51"/>
    </row>
    <row r="19" spans="1:37" s="2" customFormat="1">
      <c r="A19" s="2" t="s">
        <v>26</v>
      </c>
      <c r="P19" s="7"/>
      <c r="R19" s="87" t="s">
        <v>81</v>
      </c>
      <c r="S19" s="87" t="s">
        <v>161</v>
      </c>
      <c r="T19" s="87" t="s">
        <v>146</v>
      </c>
      <c r="U19" s="91">
        <f ca="1">U17</f>
        <v>1.5349999999999999</v>
      </c>
      <c r="V19" s="91"/>
      <c r="W19" s="91"/>
      <c r="X19" s="91"/>
      <c r="Y19" s="91"/>
      <c r="Z19" s="91"/>
      <c r="AA19" s="91"/>
      <c r="AB19" s="51" t="str">
        <f t="shared" si="6"/>
        <v>NBJ</v>
      </c>
      <c r="AC19" s="65" t="str">
        <f t="shared" si="6"/>
        <v>Higher shift rate x 2.0</v>
      </c>
      <c r="AD19" s="57">
        <f t="shared" ca="1" si="7"/>
        <v>1.5349999999999999</v>
      </c>
      <c r="AE19" s="51"/>
      <c r="AF19" s="51"/>
      <c r="AG19" s="51"/>
      <c r="AH19" s="51"/>
      <c r="AI19" s="51"/>
      <c r="AJ19" s="51"/>
      <c r="AK19" s="51"/>
    </row>
    <row r="20" spans="1:3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87" t="s">
        <v>81</v>
      </c>
      <c r="S20" s="87" t="s">
        <v>139</v>
      </c>
      <c r="T20" s="87" t="s">
        <v>162</v>
      </c>
      <c r="U20" s="91">
        <f ca="1">U17</f>
        <v>1.5349999999999999</v>
      </c>
      <c r="V20" s="91"/>
      <c r="W20" s="91"/>
      <c r="X20" s="91"/>
      <c r="Y20" s="91"/>
      <c r="Z20" s="91"/>
      <c r="AA20" s="91"/>
      <c r="AB20" s="51" t="str">
        <f t="shared" ref="AB20" si="8">S20</f>
        <v>NBG</v>
      </c>
      <c r="AC20" s="65" t="str">
        <f t="shared" ref="AC20" si="9">T20</f>
        <v>Higher shift rate x 2.5</v>
      </c>
      <c r="AD20" s="57">
        <f t="shared" ca="1" si="7"/>
        <v>1.5349999999999999</v>
      </c>
      <c r="AE20" s="51"/>
      <c r="AF20" s="51"/>
      <c r="AG20" s="51"/>
      <c r="AH20" s="51"/>
      <c r="AI20" s="51"/>
      <c r="AJ20" s="51"/>
      <c r="AK20" s="51"/>
    </row>
    <row r="21" spans="1:37" s="2" customForma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87" t="s">
        <v>81</v>
      </c>
      <c r="S21" s="87" t="s">
        <v>134</v>
      </c>
      <c r="T21" s="87" t="s">
        <v>149</v>
      </c>
      <c r="U21" s="91" cm="1">
        <f t="array" aca="1" ref="U21" ca="1">ROUND(IF($R21="Y",VLOOKUP($S21,INDIRECT($S$2),U$5,0)*INDIRECT($R$1),VLOOKUP($S21,INDIRECT($S$2),U$5,0)),3)</f>
        <v>0.64600000000000002</v>
      </c>
      <c r="V21" s="91"/>
      <c r="W21" s="91"/>
      <c r="X21" s="91"/>
      <c r="Y21" s="91"/>
      <c r="Z21" s="91"/>
      <c r="AA21" s="91"/>
      <c r="AB21" s="51" t="str">
        <f t="shared" ref="AB21:AC24" si="10">S21</f>
        <v>NFF</v>
      </c>
      <c r="AC21" s="65" t="str">
        <f t="shared" si="10"/>
        <v>Lower shift rate</v>
      </c>
      <c r="AD21" s="57">
        <f t="shared" ca="1" si="7"/>
        <v>0.64600000000000002</v>
      </c>
      <c r="AE21" s="51"/>
      <c r="AF21" s="51"/>
      <c r="AG21" s="51"/>
      <c r="AH21" s="51"/>
      <c r="AI21" s="51"/>
      <c r="AJ21" s="51"/>
      <c r="AK21" s="51"/>
    </row>
    <row r="22" spans="1:3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87" t="s">
        <v>81</v>
      </c>
      <c r="S22" s="87" t="s">
        <v>135</v>
      </c>
      <c r="T22" s="87" t="s">
        <v>150</v>
      </c>
      <c r="U22" s="91" cm="1">
        <f t="array" aca="1" ref="U22" ca="1">ROUND(IF($R22="Y",VLOOKUP($S22,INDIRECT($S$2),U$5,0)*INDIRECT($R$1),VLOOKUP($S22,INDIRECT($S$2),U$5,0)),3)</f>
        <v>0.64600000000000002</v>
      </c>
      <c r="V22" s="91"/>
      <c r="W22" s="91"/>
      <c r="X22" s="91"/>
      <c r="Y22" s="91"/>
      <c r="Z22" s="91"/>
      <c r="AA22" s="91"/>
      <c r="AB22" s="51" t="str">
        <f t="shared" si="10"/>
        <v>NFT</v>
      </c>
      <c r="AC22" s="65" t="str">
        <f t="shared" si="10"/>
        <v>Lower shift rate x 1.5</v>
      </c>
      <c r="AD22" s="57">
        <f t="shared" ca="1" si="7"/>
        <v>0.64600000000000002</v>
      </c>
      <c r="AE22" s="51"/>
      <c r="AF22" s="51"/>
      <c r="AG22" s="51"/>
      <c r="AH22" s="51"/>
      <c r="AI22" s="51"/>
      <c r="AJ22" s="51"/>
      <c r="AK22" s="51"/>
    </row>
    <row r="23" spans="1:37" s="2" customFormat="1">
      <c r="B23" s="1"/>
      <c r="C23" s="1"/>
      <c r="D23" s="7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87" t="s">
        <v>81</v>
      </c>
      <c r="S23" s="87" t="s">
        <v>164</v>
      </c>
      <c r="T23" s="87" t="s">
        <v>151</v>
      </c>
      <c r="U23" s="91">
        <f ca="1">U21</f>
        <v>0.64600000000000002</v>
      </c>
      <c r="V23" s="91"/>
      <c r="W23" s="91"/>
      <c r="X23" s="91"/>
      <c r="Y23" s="91"/>
      <c r="Z23" s="91"/>
      <c r="AA23" s="91"/>
      <c r="AB23" s="51" t="str">
        <f t="shared" si="10"/>
        <v>NFJ</v>
      </c>
      <c r="AC23" s="65" t="str">
        <f t="shared" si="10"/>
        <v>Lower shift rate x 2.0</v>
      </c>
      <c r="AD23" s="57">
        <f t="shared" ca="1" si="7"/>
        <v>0.64600000000000002</v>
      </c>
      <c r="AE23" s="51"/>
      <c r="AF23" s="51"/>
      <c r="AG23" s="51"/>
      <c r="AH23" s="51"/>
      <c r="AI23" s="51"/>
      <c r="AJ23" s="51"/>
      <c r="AK23" s="51"/>
    </row>
    <row r="24" spans="1:3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87" t="s">
        <v>81</v>
      </c>
      <c r="S24" s="87" t="s">
        <v>136</v>
      </c>
      <c r="T24" s="87" t="s">
        <v>163</v>
      </c>
      <c r="U24" s="91">
        <f ca="1">U22</f>
        <v>0.64600000000000002</v>
      </c>
      <c r="V24" s="91"/>
      <c r="W24" s="91"/>
      <c r="X24" s="91"/>
      <c r="Y24" s="91"/>
      <c r="Z24" s="91"/>
      <c r="AA24" s="91"/>
      <c r="AB24" s="51" t="str">
        <f t="shared" si="10"/>
        <v>NFG</v>
      </c>
      <c r="AC24" s="65" t="str">
        <f t="shared" si="10"/>
        <v>Lower shift rate x 2.5</v>
      </c>
      <c r="AD24" s="57">
        <f t="shared" ca="1" si="7"/>
        <v>0.64600000000000002</v>
      </c>
      <c r="AE24" s="51"/>
      <c r="AF24" s="51"/>
      <c r="AG24" s="51"/>
      <c r="AH24" s="51"/>
      <c r="AI24" s="51"/>
      <c r="AJ24" s="51"/>
      <c r="AK24" s="51"/>
    </row>
    <row r="25" spans="1:3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87"/>
      <c r="S25" s="87"/>
      <c r="T25" s="87"/>
      <c r="U25" s="91"/>
      <c r="V25" s="91"/>
      <c r="W25" s="91"/>
      <c r="X25" s="91"/>
      <c r="Y25" s="91"/>
      <c r="Z25" s="91"/>
      <c r="AA25" s="91"/>
      <c r="AB25" s="51"/>
      <c r="AC25" s="51"/>
      <c r="AD25" s="51"/>
      <c r="AE25" s="51"/>
      <c r="AF25" s="51"/>
      <c r="AG25" s="51"/>
      <c r="AH25" s="51"/>
      <c r="AI25" s="51"/>
      <c r="AJ25" s="51"/>
      <c r="AK25" s="51"/>
    </row>
    <row r="26" spans="1:37" s="2" customFormat="1">
      <c r="A26" s="86" t="s">
        <v>28</v>
      </c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7"/>
      <c r="N26" s="7"/>
      <c r="O26" s="7"/>
      <c r="P26" s="7"/>
      <c r="R26" s="87"/>
      <c r="S26" s="87"/>
      <c r="T26" s="87"/>
      <c r="U26" s="91"/>
      <c r="V26" s="91"/>
      <c r="W26" s="91"/>
      <c r="X26" s="91"/>
      <c r="Y26" s="91"/>
      <c r="Z26" s="91"/>
      <c r="AA26" s="91"/>
      <c r="AB26" s="51"/>
      <c r="AC26" s="51"/>
      <c r="AD26" s="51"/>
      <c r="AE26" s="51"/>
      <c r="AF26" s="51"/>
      <c r="AG26" s="51"/>
      <c r="AH26" s="51"/>
      <c r="AI26" s="51"/>
      <c r="AJ26" s="51"/>
      <c r="AK26" s="51"/>
    </row>
    <row r="27" spans="1:37" s="2" customFormat="1">
      <c r="A27" s="2" t="s">
        <v>29</v>
      </c>
      <c r="J27" s="4"/>
      <c r="K27" s="4"/>
      <c r="L27" s="4"/>
      <c r="P27" s="7"/>
      <c r="R27" s="87"/>
      <c r="S27" s="98" t="s">
        <v>93</v>
      </c>
      <c r="T27" s="87"/>
      <c r="U27" s="91"/>
      <c r="V27" s="91"/>
      <c r="W27" s="91"/>
      <c r="X27" s="91"/>
      <c r="Y27" s="91"/>
      <c r="Z27" s="91"/>
      <c r="AA27" s="91"/>
      <c r="AB27" s="70" t="s">
        <v>93</v>
      </c>
      <c r="AC27" s="51"/>
      <c r="AD27" s="51"/>
      <c r="AE27" s="51"/>
      <c r="AF27" s="51"/>
      <c r="AG27" s="51"/>
      <c r="AH27" s="51"/>
      <c r="AI27" s="51"/>
      <c r="AJ27" s="51"/>
      <c r="AK27" s="51"/>
    </row>
    <row r="28" spans="1:37" s="2" customFormat="1">
      <c r="A28" s="24">
        <f ca="1">U28</f>
        <v>0.52400000000000002</v>
      </c>
      <c r="B28" s="2" t="s">
        <v>30</v>
      </c>
      <c r="J28" s="4"/>
      <c r="K28" s="4"/>
      <c r="L28" s="4"/>
      <c r="P28" s="7"/>
      <c r="R28" s="87" t="s">
        <v>81</v>
      </c>
      <c r="S28" s="87" t="s">
        <v>86</v>
      </c>
      <c r="T28" s="87"/>
      <c r="U28" s="91" cm="1">
        <f t="array" aca="1" ref="U28" ca="1">ROUND(IF($R28="Y",VLOOKUP($S28,INDIRECT($S$2),U$5,0)*INDIRECT($R$1),VLOOKUP($S28,INDIRECT($S$2),U$5,0)),3)</f>
        <v>0.52400000000000002</v>
      </c>
      <c r="V28" s="91"/>
      <c r="W28" s="91"/>
      <c r="X28" s="91"/>
      <c r="Y28" s="91"/>
      <c r="Z28" s="91"/>
      <c r="AA28" s="91"/>
      <c r="AB28" s="51" t="str">
        <f>S28</f>
        <v>10th Year</v>
      </c>
      <c r="AC28" s="51"/>
      <c r="AD28" s="57">
        <f ca="1">U28</f>
        <v>0.52400000000000002</v>
      </c>
      <c r="AE28" s="51"/>
      <c r="AF28" s="51"/>
      <c r="AG28" s="51"/>
      <c r="AH28" s="51"/>
      <c r="AI28" s="51"/>
      <c r="AJ28" s="51"/>
      <c r="AK28" s="51"/>
    </row>
    <row r="29" spans="1:37" s="2" customFormat="1">
      <c r="A29" s="24">
        <f ca="1">U29</f>
        <v>0.67500000000000004</v>
      </c>
      <c r="B29" s="2" t="s">
        <v>31</v>
      </c>
      <c r="J29" s="4"/>
      <c r="K29" s="4"/>
      <c r="L29" s="4"/>
      <c r="P29" s="7"/>
      <c r="R29" s="87" t="s">
        <v>81</v>
      </c>
      <c r="S29" s="87" t="s">
        <v>87</v>
      </c>
      <c r="T29" s="87"/>
      <c r="U29" s="91" cm="1">
        <f t="array" aca="1" ref="U29" ca="1">ROUND(IF($R29="Y",VLOOKUP($S29,INDIRECT($S$2),U$5,0)*INDIRECT($R$1),VLOOKUP($S29,INDIRECT($S$2),U$5,0)),3)</f>
        <v>0.67500000000000004</v>
      </c>
      <c r="V29" s="91"/>
      <c r="W29" s="91"/>
      <c r="X29" s="91"/>
      <c r="Y29" s="91"/>
      <c r="Z29" s="91"/>
      <c r="AA29" s="91"/>
      <c r="AB29" s="51" t="str">
        <f t="shared" ref="AB29:AB31" si="11">S29</f>
        <v>15th Year</v>
      </c>
      <c r="AC29" s="51"/>
      <c r="AD29" s="57">
        <f t="shared" ref="AD29:AD31" ca="1" si="12">U29</f>
        <v>0.67500000000000004</v>
      </c>
      <c r="AE29" s="51"/>
      <c r="AF29" s="51"/>
      <c r="AG29" s="51"/>
      <c r="AH29" s="51"/>
      <c r="AI29" s="51"/>
      <c r="AJ29" s="51"/>
      <c r="AK29" s="51"/>
    </row>
    <row r="30" spans="1:37" s="2" customFormat="1">
      <c r="A30" s="24">
        <f ca="1">U30</f>
        <v>0.82699999999999996</v>
      </c>
      <c r="B30" s="2" t="s">
        <v>32</v>
      </c>
      <c r="J30" s="4"/>
      <c r="K30" s="4"/>
      <c r="L30" s="4"/>
      <c r="P30" s="7"/>
      <c r="R30" s="87" t="s">
        <v>81</v>
      </c>
      <c r="S30" s="87" t="s">
        <v>88</v>
      </c>
      <c r="T30" s="87"/>
      <c r="U30" s="91" cm="1">
        <f t="array" aca="1" ref="U30" ca="1">ROUND(IF($R30="Y",VLOOKUP($S30,INDIRECT($S$2),U$5,0)*INDIRECT($R$1),VLOOKUP($S30,INDIRECT($S$2),U$5,0)),3)</f>
        <v>0.82699999999999996</v>
      </c>
      <c r="V30" s="91"/>
      <c r="W30" s="91"/>
      <c r="X30" s="91"/>
      <c r="Y30" s="91"/>
      <c r="Z30" s="91"/>
      <c r="AA30" s="91"/>
      <c r="AB30" s="51" t="str">
        <f t="shared" si="11"/>
        <v>20th Year</v>
      </c>
      <c r="AC30" s="51"/>
      <c r="AD30" s="57">
        <f t="shared" ca="1" si="12"/>
        <v>0.82699999999999996</v>
      </c>
      <c r="AE30" s="51"/>
      <c r="AF30" s="51"/>
      <c r="AG30" s="51"/>
      <c r="AH30" s="51"/>
      <c r="AI30" s="51"/>
      <c r="AJ30" s="51"/>
      <c r="AK30" s="51"/>
    </row>
    <row r="31" spans="1:37" s="2" customFormat="1">
      <c r="A31" s="24">
        <f ca="1">U31</f>
        <v>0.97899999999999998</v>
      </c>
      <c r="B31" s="2" t="s">
        <v>33</v>
      </c>
      <c r="J31" s="4"/>
      <c r="K31" s="4"/>
      <c r="L31" s="4"/>
      <c r="P31" s="7"/>
      <c r="R31" s="87" t="s">
        <v>81</v>
      </c>
      <c r="S31" s="87" t="s">
        <v>89</v>
      </c>
      <c r="T31" s="87"/>
      <c r="U31" s="91" cm="1">
        <f t="array" aca="1" ref="U31" ca="1">ROUND(IF($R31="Y",VLOOKUP($S31,INDIRECT($S$2),U$5,0)*INDIRECT($R$1),VLOOKUP($S31,INDIRECT($S$2),U$5,0)),3)</f>
        <v>0.97899999999999998</v>
      </c>
      <c r="V31" s="91"/>
      <c r="W31" s="91"/>
      <c r="X31" s="91"/>
      <c r="Y31" s="91"/>
      <c r="Z31" s="91"/>
      <c r="AA31" s="91"/>
      <c r="AB31" s="51" t="str">
        <f t="shared" si="11"/>
        <v>25th Year</v>
      </c>
      <c r="AC31" s="51"/>
      <c r="AD31" s="57">
        <f t="shared" ca="1" si="12"/>
        <v>0.97899999999999998</v>
      </c>
      <c r="AE31" s="51"/>
      <c r="AF31" s="51"/>
      <c r="AG31" s="51"/>
      <c r="AH31" s="51"/>
      <c r="AI31" s="51"/>
      <c r="AJ31" s="51"/>
      <c r="AK31" s="51"/>
    </row>
    <row r="32" spans="1:37" s="2" customFormat="1">
      <c r="A32" s="1"/>
      <c r="B32" s="1"/>
      <c r="C32" s="1"/>
      <c r="D32" s="7"/>
      <c r="E32" s="1"/>
      <c r="F32" s="1"/>
      <c r="G32" s="1"/>
      <c r="H32" s="1"/>
      <c r="I32" s="1"/>
      <c r="J32" s="1"/>
      <c r="K32" s="1"/>
      <c r="L32" s="1"/>
      <c r="M32" s="7"/>
      <c r="N32" s="7"/>
      <c r="O32" s="1"/>
      <c r="P32" s="1"/>
      <c r="R32" s="87"/>
      <c r="S32" s="87"/>
      <c r="T32" s="87"/>
      <c r="U32" s="91"/>
      <c r="V32" s="91"/>
      <c r="W32" s="91"/>
      <c r="X32" s="91"/>
      <c r="Y32" s="91"/>
      <c r="Z32" s="91"/>
      <c r="AA32" s="91"/>
      <c r="AB32" s="51"/>
      <c r="AC32" s="51"/>
      <c r="AD32" s="51"/>
      <c r="AE32" s="51"/>
      <c r="AF32" s="51"/>
      <c r="AG32" s="51"/>
      <c r="AH32" s="51"/>
      <c r="AI32" s="51"/>
      <c r="AJ32" s="51"/>
      <c r="AK32" s="51"/>
    </row>
    <row r="33" spans="1:37" s="26" customFormat="1">
      <c r="A33" s="25" t="s">
        <v>35</v>
      </c>
      <c r="E33" s="27"/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94"/>
      <c r="S33" s="94"/>
      <c r="T33" s="94"/>
      <c r="U33" s="117"/>
      <c r="V33" s="117"/>
      <c r="W33" s="117"/>
      <c r="X33" s="117"/>
      <c r="Y33" s="117"/>
      <c r="Z33" s="117"/>
      <c r="AA33" s="117"/>
      <c r="AB33" s="63"/>
      <c r="AC33" s="63"/>
      <c r="AD33" s="63"/>
      <c r="AE33" s="63"/>
      <c r="AF33" s="63"/>
      <c r="AG33" s="63"/>
      <c r="AH33" s="63"/>
      <c r="AI33" s="63"/>
      <c r="AJ33" s="63"/>
      <c r="AK33" s="63"/>
    </row>
    <row r="34" spans="1:37" s="2" customFormat="1">
      <c r="A34" s="37" t="s">
        <v>57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87"/>
      <c r="S34" s="87"/>
      <c r="T34" s="87"/>
      <c r="U34" s="91"/>
      <c r="V34" s="91"/>
      <c r="W34" s="91"/>
      <c r="X34" s="91"/>
      <c r="Y34" s="91"/>
      <c r="Z34" s="91"/>
      <c r="AA34" s="91"/>
      <c r="AB34" s="51"/>
      <c r="AC34" s="51"/>
      <c r="AD34" s="51"/>
      <c r="AE34" s="51"/>
      <c r="AF34" s="51"/>
      <c r="AG34" s="51"/>
      <c r="AH34" s="51"/>
      <c r="AI34" s="51"/>
      <c r="AJ34" s="51"/>
      <c r="AK34" s="51"/>
    </row>
    <row r="35" spans="1:37" s="2" customFormat="1">
      <c r="A35" s="2" t="str">
        <f ca="1">"Dispatcher's hourly top-step rate of pay. Coaching/Training Premium = "&amp;TEXT(U35,"$0.000")&amp;" per hour assigned and coaching/training."</f>
        <v>Dispatcher's hourly top-step rate of pay. Coaching/Training Premium = $9.340 per hour assigned and coaching/training.</v>
      </c>
      <c r="G35" s="4"/>
      <c r="J35" s="34"/>
      <c r="K35" s="3"/>
      <c r="M35" s="4"/>
      <c r="N35" s="4"/>
      <c r="O35" s="4"/>
      <c r="P35" s="1"/>
      <c r="R35" s="87" t="s">
        <v>81</v>
      </c>
      <c r="S35" s="87" t="s">
        <v>140</v>
      </c>
      <c r="T35" s="87" t="s">
        <v>35</v>
      </c>
      <c r="U35" s="91">
        <f ca="1">AA8*0.2</f>
        <v>9.3404000000000007</v>
      </c>
      <c r="V35" s="87"/>
      <c r="W35" s="118" t="s">
        <v>96</v>
      </c>
      <c r="X35" s="91"/>
      <c r="Y35" s="91"/>
      <c r="Z35" s="91"/>
      <c r="AA35" s="91"/>
      <c r="AB35" s="51" t="str">
        <f t="shared" ref="AB35:AD35" si="13">S35</f>
        <v>COA</v>
      </c>
      <c r="AC35" s="51" t="str">
        <f t="shared" si="13"/>
        <v>Coaching/Training Premium</v>
      </c>
      <c r="AD35" s="57">
        <f t="shared" ca="1" si="13"/>
        <v>9.3404000000000007</v>
      </c>
      <c r="AE35" s="51"/>
      <c r="AF35" s="51"/>
      <c r="AG35" s="51"/>
      <c r="AH35" s="51"/>
      <c r="AI35" s="51"/>
      <c r="AJ35" s="51"/>
      <c r="AK35" s="51"/>
    </row>
    <row r="36" spans="1:37" s="2" customFormat="1">
      <c r="A36" s="3"/>
      <c r="E36" s="4"/>
      <c r="F36" s="4"/>
      <c r="G36" s="4"/>
      <c r="H36" s="4"/>
      <c r="J36" s="32"/>
      <c r="K36" s="3"/>
      <c r="L36" s="4"/>
      <c r="M36" s="4"/>
      <c r="N36" s="4"/>
      <c r="O36" s="4"/>
      <c r="P36" s="1"/>
      <c r="R36" s="87" t="s">
        <v>81</v>
      </c>
      <c r="S36" s="87" t="s">
        <v>174</v>
      </c>
      <c r="T36" s="87" t="s">
        <v>176</v>
      </c>
      <c r="U36" s="91">
        <f ca="1">U35*1.5</f>
        <v>14.0106</v>
      </c>
      <c r="V36" s="91"/>
      <c r="W36" s="91"/>
      <c r="X36" s="91"/>
      <c r="Y36" s="91"/>
      <c r="Z36" s="91"/>
      <c r="AA36" s="91"/>
      <c r="AB36" s="51"/>
      <c r="AC36" s="51"/>
      <c r="AD36" s="51"/>
      <c r="AE36" s="51"/>
      <c r="AF36" s="51"/>
      <c r="AG36" s="51"/>
      <c r="AH36" s="51"/>
      <c r="AI36" s="51"/>
      <c r="AJ36" s="51"/>
      <c r="AK36" s="51"/>
    </row>
    <row r="37" spans="1:37" s="2" customFormat="1">
      <c r="A37" s="25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87" t="s">
        <v>81</v>
      </c>
      <c r="S37" s="87" t="s">
        <v>175</v>
      </c>
      <c r="T37" s="87" t="s">
        <v>177</v>
      </c>
      <c r="U37" s="91">
        <f ca="1">U35*2</f>
        <v>18.680800000000001</v>
      </c>
      <c r="V37" s="91"/>
      <c r="W37" s="91"/>
      <c r="X37" s="91"/>
      <c r="Y37" s="91"/>
      <c r="Z37" s="91"/>
      <c r="AA37" s="91"/>
      <c r="AB37" s="51"/>
      <c r="AC37" s="51"/>
      <c r="AD37" s="51"/>
      <c r="AE37" s="51"/>
      <c r="AF37" s="51"/>
      <c r="AG37" s="51"/>
      <c r="AH37" s="51"/>
      <c r="AI37" s="51"/>
      <c r="AJ37" s="51"/>
      <c r="AK37" s="51"/>
    </row>
    <row r="38" spans="1:37" s="2" customFormat="1">
      <c r="A38" s="40" t="s">
        <v>62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87"/>
      <c r="S38" s="87"/>
      <c r="T38" s="87"/>
      <c r="U38" s="91"/>
      <c r="V38" s="91"/>
      <c r="W38" s="91"/>
      <c r="X38" s="91"/>
      <c r="Y38" s="91"/>
      <c r="Z38" s="91"/>
      <c r="AA38" s="91"/>
      <c r="AB38" s="51"/>
      <c r="AC38" s="51"/>
      <c r="AD38" s="51"/>
      <c r="AE38" s="51"/>
      <c r="AF38" s="51"/>
      <c r="AG38" s="51"/>
      <c r="AH38" s="51"/>
      <c r="AI38" s="51"/>
      <c r="AJ38" s="51"/>
      <c r="AK38" s="51"/>
    </row>
    <row r="39" spans="1:37" s="2" customFormat="1">
      <c r="A39" s="2" t="s">
        <v>63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87"/>
      <c r="S39" s="87"/>
      <c r="T39" s="87"/>
      <c r="U39" s="91"/>
      <c r="V39" s="91"/>
      <c r="W39" s="91"/>
      <c r="X39" s="91"/>
      <c r="Y39" s="91"/>
      <c r="Z39" s="91"/>
      <c r="AA39" s="91"/>
      <c r="AB39" s="51"/>
      <c r="AC39" s="51"/>
      <c r="AD39" s="51"/>
      <c r="AE39" s="51"/>
      <c r="AF39" s="51"/>
      <c r="AG39" s="51"/>
      <c r="AH39" s="51"/>
      <c r="AI39" s="51"/>
      <c r="AJ39" s="51"/>
      <c r="AK39" s="51"/>
    </row>
    <row r="40" spans="1:37" s="2" customFormat="1">
      <c r="I40" s="73" t="s">
        <v>60</v>
      </c>
      <c r="J40" s="12" t="s">
        <v>71</v>
      </c>
      <c r="K40" s="12" t="s">
        <v>72</v>
      </c>
      <c r="L40" s="12" t="s">
        <v>73</v>
      </c>
      <c r="M40" s="12" t="s">
        <v>74</v>
      </c>
      <c r="N40" s="12" t="s">
        <v>75</v>
      </c>
      <c r="O40" s="12" t="s">
        <v>76</v>
      </c>
      <c r="P40" s="12" t="s">
        <v>77</v>
      </c>
      <c r="R40" s="87"/>
      <c r="S40" s="119"/>
      <c r="T40" s="119"/>
      <c r="U40" s="119"/>
      <c r="V40" s="115"/>
      <c r="W40" s="120" t="s">
        <v>98</v>
      </c>
      <c r="X40" s="119"/>
      <c r="Y40" s="119"/>
      <c r="Z40" s="87"/>
      <c r="AA40" s="87"/>
      <c r="AB40" s="51"/>
      <c r="AC40" s="51"/>
      <c r="AD40" s="51"/>
      <c r="AE40" s="51"/>
      <c r="AF40" s="51"/>
      <c r="AG40" s="51"/>
      <c r="AH40" s="51"/>
      <c r="AI40" s="51"/>
      <c r="AJ40" s="51"/>
      <c r="AK40" s="51"/>
    </row>
    <row r="41" spans="1:37">
      <c r="I41" s="74" t="s">
        <v>61</v>
      </c>
      <c r="J41" s="14">
        <f t="shared" ref="J41:P41" ca="1" si="14">ROUND(HLOOKUP(J40,$I$6:$O$8,2)*1.5,3)</f>
        <v>49.154000000000003</v>
      </c>
      <c r="K41" s="14">
        <f t="shared" ca="1" si="14"/>
        <v>51.749000000000002</v>
      </c>
      <c r="L41" s="14">
        <f t="shared" ca="1" si="14"/>
        <v>54.473999999999997</v>
      </c>
      <c r="M41" s="14">
        <f t="shared" ca="1" si="14"/>
        <v>57.332999999999998</v>
      </c>
      <c r="N41" s="14">
        <f t="shared" ca="1" si="14"/>
        <v>60.353999999999999</v>
      </c>
      <c r="O41" s="14">
        <f t="shared" ca="1" si="14"/>
        <v>63.527000000000001</v>
      </c>
      <c r="P41" s="14">
        <f t="shared" ca="1" si="14"/>
        <v>66.863</v>
      </c>
      <c r="S41" s="121"/>
      <c r="T41" s="121"/>
      <c r="U41" s="121"/>
      <c r="V41" s="121"/>
      <c r="W41" s="121"/>
      <c r="X41" s="121"/>
      <c r="Y41" s="121"/>
    </row>
  </sheetData>
  <sheetProtection sheet="1" objects="1" scenarios="1"/>
  <mergeCells count="1">
    <mergeCell ref="A1:O1"/>
  </mergeCells>
  <phoneticPr fontId="12" type="noConversion"/>
  <pageMargins left="0.25" right="0.25" top="0.5" bottom="0.25" header="0.5" footer="0.5"/>
  <pageSetup scale="49" orientation="landscape" horizontalDpi="4294967293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9A7F-4F20-43C1-BF30-0C717EB10212}">
  <sheetPr>
    <pageSetUpPr fitToPage="1"/>
  </sheetPr>
  <dimension ref="A1:AK41"/>
  <sheetViews>
    <sheetView showGridLines="0" zoomScaleNormal="100" workbookViewId="0">
      <selection sqref="A1:O1"/>
    </sheetView>
  </sheetViews>
  <sheetFormatPr defaultColWidth="9.1328125" defaultRowHeight="15.75"/>
  <cols>
    <col min="1" max="1" width="11.86328125" style="29" customWidth="1"/>
    <col min="2" max="2" width="7" style="29" customWidth="1"/>
    <col min="3" max="3" width="4.86328125" style="29" bestFit="1" customWidth="1"/>
    <col min="4" max="4" width="34.1328125" style="29" bestFit="1" customWidth="1"/>
    <col min="5" max="5" width="4.59765625" style="29" bestFit="1" customWidth="1"/>
    <col min="6" max="6" width="7" style="29" bestFit="1" customWidth="1"/>
    <col min="7" max="7" width="6.86328125" style="29" bestFit="1" customWidth="1"/>
    <col min="8" max="8" width="5.73046875" style="29" bestFit="1" customWidth="1"/>
    <col min="9" max="9" width="8.59765625" style="29" customWidth="1"/>
    <col min="10" max="15" width="8.59765625" style="29" bestFit="1" customWidth="1"/>
    <col min="16" max="16" width="8.3984375" style="29" bestFit="1" customWidth="1"/>
    <col min="17" max="17" width="9.1328125" style="29"/>
    <col min="18" max="18" width="16.73046875" style="87" hidden="1" customWidth="1"/>
    <col min="19" max="19" width="15.73046875" style="87" hidden="1" customWidth="1"/>
    <col min="20" max="20" width="34.73046875" style="87" hidden="1" customWidth="1"/>
    <col min="21" max="22" width="8.3984375" style="91" hidden="1" customWidth="1"/>
    <col min="23" max="23" width="10.265625" style="91" hidden="1" customWidth="1"/>
    <col min="24" max="27" width="8.3984375" style="91" hidden="1" customWidth="1"/>
    <col min="28" max="28" width="15.73046875" style="51" hidden="1" customWidth="1"/>
    <col min="29" max="29" width="30.59765625" style="51" hidden="1" customWidth="1"/>
    <col min="30" max="30" width="7.265625" style="51" hidden="1" customWidth="1"/>
    <col min="31" max="37" width="8.3984375" style="51" hidden="1" customWidth="1"/>
    <col min="38" max="16384" width="9.1328125" style="29"/>
  </cols>
  <sheetData>
    <row r="1" spans="1:3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87" t="s">
        <v>169</v>
      </c>
      <c r="S1" s="109">
        <v>1.04</v>
      </c>
      <c r="T1" s="87"/>
      <c r="U1" s="91"/>
      <c r="V1" s="91"/>
      <c r="W1" s="91"/>
      <c r="X1" s="91"/>
      <c r="Y1" s="91"/>
      <c r="Z1" s="91"/>
      <c r="AA1" s="91"/>
      <c r="AB1" s="51"/>
      <c r="AC1" s="51"/>
      <c r="AD1" s="51"/>
      <c r="AE1" s="51"/>
      <c r="AF1" s="51"/>
      <c r="AG1" s="51"/>
      <c r="AH1" s="51"/>
      <c r="AI1" s="51"/>
      <c r="AJ1" s="51"/>
      <c r="AK1" s="51"/>
    </row>
    <row r="2" spans="1:37" s="2" customFormat="1">
      <c r="A2" s="2" t="s">
        <v>173</v>
      </c>
      <c r="C2" s="3"/>
      <c r="D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87" t="s">
        <v>119</v>
      </c>
      <c r="S2" s="110" t="s">
        <v>168</v>
      </c>
      <c r="T2" s="87"/>
      <c r="U2" s="91"/>
      <c r="V2" s="91"/>
      <c r="W2" s="91"/>
      <c r="X2" s="91"/>
      <c r="Y2" s="91"/>
      <c r="Z2" s="91"/>
      <c r="AA2" s="9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s="2" customFormat="1">
      <c r="A3" s="2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87"/>
      <c r="S3" s="87"/>
      <c r="T3" s="87"/>
      <c r="U3" s="91"/>
      <c r="V3" s="91"/>
      <c r="W3" s="91"/>
      <c r="X3" s="91"/>
      <c r="Y3" s="91"/>
      <c r="Z3" s="91"/>
      <c r="AA3" s="9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s="2" customFormat="1" ht="15" customHeight="1">
      <c r="A4" s="126" t="s">
        <v>178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87"/>
      <c r="S4" s="87"/>
      <c r="T4" s="87"/>
      <c r="U4" s="91"/>
      <c r="V4" s="91"/>
      <c r="W4" s="91"/>
      <c r="X4" s="91"/>
      <c r="Y4" s="91"/>
      <c r="Z4" s="91"/>
      <c r="AA4" s="91"/>
      <c r="AB4" s="122" t="s">
        <v>133</v>
      </c>
      <c r="AC4" s="51"/>
      <c r="AD4" s="51"/>
      <c r="AE4" s="51"/>
      <c r="AF4" s="51"/>
      <c r="AG4" s="51"/>
      <c r="AH4" s="51"/>
      <c r="AI4" s="51"/>
      <c r="AJ4" s="51"/>
      <c r="AK4" s="51"/>
    </row>
    <row r="5" spans="1:37" s="2" customFormat="1" ht="15" customHeight="1">
      <c r="B5" s="3"/>
      <c r="C5" s="4"/>
      <c r="D5" s="108"/>
      <c r="E5" s="108"/>
      <c r="F5" s="108"/>
      <c r="G5" s="9"/>
      <c r="H5" s="9"/>
      <c r="I5" s="10"/>
      <c r="J5" s="9"/>
      <c r="K5" s="9"/>
      <c r="L5" s="9"/>
      <c r="M5" s="9"/>
      <c r="N5" s="9"/>
      <c r="O5" s="4"/>
      <c r="P5" s="7"/>
      <c r="R5" s="87"/>
      <c r="S5" s="87"/>
      <c r="T5" s="87"/>
      <c r="U5" s="111">
        <v>3</v>
      </c>
      <c r="V5" s="111">
        <f>U5+1</f>
        <v>4</v>
      </c>
      <c r="W5" s="111">
        <f t="shared" ref="W5:AA5" si="0">V5+1</f>
        <v>5</v>
      </c>
      <c r="X5" s="111">
        <f t="shared" si="0"/>
        <v>6</v>
      </c>
      <c r="Y5" s="111">
        <f t="shared" si="0"/>
        <v>7</v>
      </c>
      <c r="Z5" s="111">
        <f t="shared" si="0"/>
        <v>8</v>
      </c>
      <c r="AA5" s="111">
        <f t="shared" si="0"/>
        <v>9</v>
      </c>
      <c r="AB5" s="51"/>
      <c r="AC5" s="51"/>
      <c r="AD5" s="51"/>
      <c r="AE5" s="51"/>
      <c r="AF5" s="51"/>
      <c r="AG5" s="51"/>
      <c r="AH5" s="51"/>
      <c r="AI5" s="51"/>
      <c r="AJ5" s="51"/>
      <c r="AK5" s="51"/>
    </row>
    <row r="6" spans="1:37" s="2" customFormat="1" ht="31.5" customHeight="1">
      <c r="A6" s="45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68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87" t="s">
        <v>80</v>
      </c>
      <c r="S6" s="124" t="s">
        <v>78</v>
      </c>
      <c r="T6" s="89" t="s">
        <v>14</v>
      </c>
      <c r="U6" s="90" t="s">
        <v>71</v>
      </c>
      <c r="V6" s="90" t="s">
        <v>72</v>
      </c>
      <c r="W6" s="90" t="s">
        <v>73</v>
      </c>
      <c r="X6" s="90" t="s">
        <v>74</v>
      </c>
      <c r="Y6" s="90" t="s">
        <v>75</v>
      </c>
      <c r="Z6" s="90" t="s">
        <v>76</v>
      </c>
      <c r="AA6" s="90" t="s">
        <v>77</v>
      </c>
      <c r="AB6" s="52" t="s">
        <v>78</v>
      </c>
      <c r="AC6" s="53" t="s">
        <v>14</v>
      </c>
      <c r="AD6" s="52" t="s">
        <v>68</v>
      </c>
      <c r="AE6" s="54" t="s">
        <v>71</v>
      </c>
      <c r="AF6" s="54" t="s">
        <v>72</v>
      </c>
      <c r="AG6" s="54" t="s">
        <v>73</v>
      </c>
      <c r="AH6" s="54" t="s">
        <v>74</v>
      </c>
      <c r="AI6" s="54" t="s">
        <v>75</v>
      </c>
      <c r="AJ6" s="54" t="s">
        <v>76</v>
      </c>
      <c r="AK6" s="54" t="s">
        <v>77</v>
      </c>
    </row>
    <row r="7" spans="1:37" s="2" customFormat="1">
      <c r="A7" s="4" t="s">
        <v>113</v>
      </c>
      <c r="B7" s="4" t="s">
        <v>19</v>
      </c>
      <c r="C7" s="4">
        <v>2</v>
      </c>
      <c r="D7" s="7" t="s">
        <v>165</v>
      </c>
      <c r="E7" s="4">
        <v>343</v>
      </c>
      <c r="F7" s="46" t="s">
        <v>157</v>
      </c>
      <c r="G7" s="4">
        <v>7</v>
      </c>
      <c r="H7" s="4" t="s">
        <v>20</v>
      </c>
      <c r="I7" s="14">
        <f ca="1">U7</f>
        <v>34.08</v>
      </c>
      <c r="J7" s="14">
        <f t="shared" ref="J7:O8" ca="1" si="1">V7</f>
        <v>35.878999999999998</v>
      </c>
      <c r="K7" s="14">
        <f t="shared" ca="1" si="1"/>
        <v>37.768999999999998</v>
      </c>
      <c r="L7" s="14">
        <f t="shared" ca="1" si="1"/>
        <v>39.750999999999998</v>
      </c>
      <c r="M7" s="14">
        <f t="shared" ca="1" si="1"/>
        <v>41.844999999999999</v>
      </c>
      <c r="N7" s="14">
        <f t="shared" ca="1" si="1"/>
        <v>44.045000000000002</v>
      </c>
      <c r="O7" s="14">
        <f t="shared" ca="1" si="1"/>
        <v>46.357999999999997</v>
      </c>
      <c r="P7" s="7"/>
      <c r="R7" s="87" t="s">
        <v>81</v>
      </c>
      <c r="S7" s="110" t="s">
        <v>113</v>
      </c>
      <c r="T7" s="92" t="str">
        <f>D7</f>
        <v>Public Safety Telecommunicators II</v>
      </c>
      <c r="U7" s="91" cm="1">
        <f t="array" aca="1" ref="U7" ca="1">ROUND(IF($R7="Y",VLOOKUP($S7,INDIRECT($S$2),U$5,0)*INDIRECT($R$1),VLOOKUP($S7,INDIRECT($S$2),U$5,0)),3)</f>
        <v>34.08</v>
      </c>
      <c r="V7" s="91" cm="1">
        <f t="array" aca="1" ref="V7" ca="1">ROUND(IF($R7="Y",VLOOKUP($S7,INDIRECT($S$2),V$5,0)*INDIRECT($R$1),VLOOKUP($S7,INDIRECT($S$2),V$5,0)),3)</f>
        <v>35.878999999999998</v>
      </c>
      <c r="W7" s="119" cm="1">
        <f t="array" aca="1" ref="W7" ca="1">ROUND(IF($R7="Y",VLOOKUP($S7,INDIRECT($S$2),W$5,0)*INDIRECT($R$1),VLOOKUP($S7,INDIRECT($S$2),W$5,0)),3)</f>
        <v>37.768999999999998</v>
      </c>
      <c r="X7" s="91" cm="1">
        <f t="array" aca="1" ref="X7" ca="1">ROUND(IF($R7="Y",VLOOKUP($S7,INDIRECT($S$2),X$5,0)*INDIRECT($R$1),VLOOKUP($S7,INDIRECT($S$2),X$5,0)),3)</f>
        <v>39.750999999999998</v>
      </c>
      <c r="Y7" s="91" cm="1">
        <f t="array" aca="1" ref="Y7" ca="1">ROUND(IF($R7="Y",VLOOKUP($S7,INDIRECT($S$2),Y$5,0)*INDIRECT($R$1),VLOOKUP($S7,INDIRECT($S$2),Y$5,0)),3)</f>
        <v>41.844999999999999</v>
      </c>
      <c r="Z7" s="91" cm="1">
        <f t="array" aca="1" ref="Z7" ca="1">ROUND(IF($R7="Y",VLOOKUP($S7,INDIRECT($S$2),Z$5,0)*INDIRECT($R$1),VLOOKUP($S7,INDIRECT($S$2),Z$5,0)),3)</f>
        <v>44.045000000000002</v>
      </c>
      <c r="AA7" s="91" cm="1">
        <f t="array" aca="1" ref="AA7" ca="1">ROUND(IF($R7="Y",VLOOKUP($S7,INDIRECT($S$2),AA$5,0)*INDIRECT($R$1),VLOOKUP($S7,INDIRECT($S$2),AA$5,0)),3)</f>
        <v>46.357999999999997</v>
      </c>
      <c r="AB7" s="51" t="str">
        <f>S7</f>
        <v>00020C</v>
      </c>
      <c r="AC7" s="51" t="str">
        <f>T7</f>
        <v>Public Safety Telecommunicators II</v>
      </c>
      <c r="AD7" s="123" t="str">
        <f>F7</f>
        <v>03</v>
      </c>
      <c r="AE7" s="57">
        <f ca="1">ROUND(U7,3)</f>
        <v>34.08</v>
      </c>
      <c r="AF7" s="57">
        <f t="shared" ref="AF7:AK8" ca="1" si="2">ROUND(V7,3)</f>
        <v>35.878999999999998</v>
      </c>
      <c r="AG7" s="57">
        <f t="shared" ca="1" si="2"/>
        <v>37.768999999999998</v>
      </c>
      <c r="AH7" s="57">
        <f t="shared" ca="1" si="2"/>
        <v>39.750999999999998</v>
      </c>
      <c r="AI7" s="57">
        <f t="shared" ca="1" si="2"/>
        <v>41.844999999999999</v>
      </c>
      <c r="AJ7" s="57">
        <f t="shared" ca="1" si="2"/>
        <v>44.045000000000002</v>
      </c>
      <c r="AK7" s="57">
        <f t="shared" ca="1" si="2"/>
        <v>46.357999999999997</v>
      </c>
    </row>
    <row r="8" spans="1:37" s="2" customFormat="1">
      <c r="A8" s="4" t="s">
        <v>21</v>
      </c>
      <c r="B8" s="4" t="s">
        <v>19</v>
      </c>
      <c r="C8" s="4">
        <v>2</v>
      </c>
      <c r="D8" s="7" t="s">
        <v>166</v>
      </c>
      <c r="E8" s="4">
        <v>363</v>
      </c>
      <c r="F8" s="46" t="s">
        <v>158</v>
      </c>
      <c r="G8" s="4">
        <v>8</v>
      </c>
      <c r="H8" s="4" t="s">
        <v>20</v>
      </c>
      <c r="I8" s="14">
        <f ca="1">U8</f>
        <v>35.718000000000004</v>
      </c>
      <c r="J8" s="14">
        <f t="shared" ca="1" si="1"/>
        <v>37.584000000000003</v>
      </c>
      <c r="K8" s="14">
        <f t="shared" ca="1" si="1"/>
        <v>39.554000000000002</v>
      </c>
      <c r="L8" s="14">
        <f t="shared" ca="1" si="1"/>
        <v>41.633000000000003</v>
      </c>
      <c r="M8" s="14">
        <f t="shared" ca="1" si="1"/>
        <v>43.837000000000003</v>
      </c>
      <c r="N8" s="14">
        <f t="shared" ca="1" si="1"/>
        <v>46.15</v>
      </c>
      <c r="O8" s="14">
        <f t="shared" ca="1" si="1"/>
        <v>48.57</v>
      </c>
      <c r="P8" s="7"/>
      <c r="R8" s="87" t="s">
        <v>81</v>
      </c>
      <c r="S8" s="110" t="s">
        <v>21</v>
      </c>
      <c r="T8" s="92" t="str">
        <f>D8</f>
        <v>Public Safety Telecommunicators III</v>
      </c>
      <c r="U8" s="91" cm="1">
        <f t="array" aca="1" ref="U8" ca="1">ROUND(IF($R8="Y",VLOOKUP($S8,INDIRECT($S$2),U$5,0)*INDIRECT($R$1),VLOOKUP($S8,INDIRECT($S$2),U$5,0)),3)</f>
        <v>35.718000000000004</v>
      </c>
      <c r="V8" s="91" cm="1">
        <f t="array" aca="1" ref="V8" ca="1">ROUND(IF($R8="Y",VLOOKUP($S8,INDIRECT($S$2),V$5,0)*INDIRECT($R$1),VLOOKUP($S8,INDIRECT($S$2),V$5,0)),3)</f>
        <v>37.584000000000003</v>
      </c>
      <c r="W8" s="119" cm="1">
        <f t="array" aca="1" ref="W8" ca="1">ROUND(IF($R8="Y",VLOOKUP($S8,INDIRECT($S$2),W$5,0)*INDIRECT($R$1),VLOOKUP($S8,INDIRECT($S$2),W$5,0)),3)</f>
        <v>39.554000000000002</v>
      </c>
      <c r="X8" s="91" cm="1">
        <f t="array" aca="1" ref="X8" ca="1">ROUND(IF($R8="Y",VLOOKUP($S8,INDIRECT($S$2),X$5,0)*INDIRECT($R$1),VLOOKUP($S8,INDIRECT($S$2),X$5,0)),3)</f>
        <v>41.633000000000003</v>
      </c>
      <c r="Y8" s="91" cm="1">
        <f t="array" aca="1" ref="Y8" ca="1">ROUND(IF($R8="Y",VLOOKUP($S8,INDIRECT($S$2),Y$5,0)*INDIRECT($R$1),VLOOKUP($S8,INDIRECT($S$2),Y$5,0)),3)</f>
        <v>43.837000000000003</v>
      </c>
      <c r="Z8" s="91" cm="1">
        <f t="array" aca="1" ref="Z8" ca="1">ROUND(IF($R8="Y",VLOOKUP($S8,INDIRECT($S$2),Z$5,0)*INDIRECT($R$1),VLOOKUP($S8,INDIRECT($S$2),Z$5,0)),3)</f>
        <v>46.15</v>
      </c>
      <c r="AA8" s="91" cm="1">
        <f t="array" aca="1" ref="AA8" ca="1">ROUND(IF($R8="Y",VLOOKUP($S8,INDIRECT($S$2),AA$5,0)*INDIRECT($R$1),VLOOKUP($S8,INDIRECT($S$2),AA$5,0)),3)</f>
        <v>48.57</v>
      </c>
      <c r="AB8" s="51" t="str">
        <f>S8</f>
        <v>00011C</v>
      </c>
      <c r="AC8" s="51" t="str">
        <f>T8</f>
        <v>Public Safety Telecommunicators III</v>
      </c>
      <c r="AD8" s="123" t="str">
        <f>F8</f>
        <v>04</v>
      </c>
      <c r="AE8" s="57">
        <f ca="1">ROUND(U8,3)</f>
        <v>35.718000000000004</v>
      </c>
      <c r="AF8" s="57">
        <f t="shared" ca="1" si="2"/>
        <v>37.584000000000003</v>
      </c>
      <c r="AG8" s="57">
        <f t="shared" ca="1" si="2"/>
        <v>39.554000000000002</v>
      </c>
      <c r="AH8" s="57">
        <f t="shared" ca="1" si="2"/>
        <v>41.633000000000003</v>
      </c>
      <c r="AI8" s="57">
        <f t="shared" ca="1" si="2"/>
        <v>43.837000000000003</v>
      </c>
      <c r="AJ8" s="57">
        <f t="shared" ca="1" si="2"/>
        <v>46.15</v>
      </c>
      <c r="AK8" s="57">
        <f t="shared" ca="1" si="2"/>
        <v>48.57</v>
      </c>
    </row>
    <row r="9" spans="1:37" s="7" customFormat="1" ht="16.149999999999999" thickBot="1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R9" s="112"/>
      <c r="S9" s="112"/>
      <c r="T9" s="112"/>
      <c r="U9" s="113"/>
      <c r="V9" s="113"/>
      <c r="W9" s="113"/>
      <c r="X9" s="113"/>
      <c r="Y9" s="113"/>
      <c r="Z9" s="113"/>
      <c r="AA9" s="113"/>
      <c r="AB9" s="56"/>
      <c r="AC9" s="56"/>
      <c r="AD9" s="56"/>
      <c r="AE9" s="56"/>
      <c r="AF9" s="56"/>
      <c r="AG9" s="56"/>
      <c r="AH9" s="56"/>
      <c r="AI9" s="56"/>
      <c r="AJ9" s="56"/>
      <c r="AK9" s="56"/>
    </row>
    <row r="10" spans="1:37" s="2" customFormat="1">
      <c r="A10" s="108" t="s">
        <v>56</v>
      </c>
      <c r="B10" s="4"/>
      <c r="C10" s="4"/>
      <c r="E10" s="4"/>
      <c r="F10" s="4"/>
      <c r="G10" s="4"/>
      <c r="H10" s="4"/>
      <c r="I10" s="4"/>
      <c r="J10" s="4"/>
      <c r="K10" s="4"/>
      <c r="L10" s="4"/>
      <c r="P10" s="7"/>
      <c r="R10" s="87"/>
      <c r="S10" s="87"/>
      <c r="T10" s="87"/>
      <c r="U10" s="91"/>
      <c r="V10" s="91"/>
      <c r="W10" s="91"/>
      <c r="X10" s="91"/>
      <c r="Y10" s="91"/>
      <c r="Z10" s="91"/>
      <c r="AA10" s="91"/>
      <c r="AB10" s="51"/>
      <c r="AC10" s="51"/>
      <c r="AD10" s="51"/>
      <c r="AE10" s="51"/>
      <c r="AF10" s="51"/>
      <c r="AG10" s="51"/>
      <c r="AH10" s="51"/>
      <c r="AI10" s="51"/>
      <c r="AJ10" s="51"/>
      <c r="AK10" s="51"/>
    </row>
    <row r="11" spans="1:37" s="2" customFormat="1">
      <c r="A11" s="2" t="str">
        <f ca="1">"In addition to their base rate of pay, employees shall be paid "&amp;TEXT(U11,"$0.000")&amp; " per hour for all hours worked on any shift that begins"</f>
        <v>In addition to their base rate of pay, employees shall be paid $0.672 per hour for all hours worked on any shift that begins</v>
      </c>
      <c r="B11" s="4"/>
      <c r="C11" s="4"/>
      <c r="E11" s="4"/>
      <c r="F11" s="4"/>
      <c r="G11" s="4"/>
      <c r="I11" s="36"/>
      <c r="J11" s="3"/>
      <c r="K11" s="3"/>
      <c r="L11" s="3"/>
      <c r="M11" s="3"/>
      <c r="N11" s="3"/>
      <c r="P11" s="7"/>
      <c r="R11" s="87" t="s">
        <v>81</v>
      </c>
      <c r="S11" s="114" t="s">
        <v>82</v>
      </c>
      <c r="T11" s="114" t="s">
        <v>83</v>
      </c>
      <c r="U11" s="91" cm="1">
        <f t="array" aca="1" ref="U11" ca="1">ROUND(IF($R11="Y",VLOOKUP($S11,INDIRECT($S$2),U$5,0)*INDIRECT($R$1),VLOOKUP($S11,INDIRECT($S$2),U$5,0)),3)</f>
        <v>0.67200000000000004</v>
      </c>
      <c r="V11" s="91"/>
      <c r="W11" s="91"/>
      <c r="X11" s="115"/>
      <c r="Y11" s="91"/>
      <c r="Z11" s="91"/>
      <c r="AA11" s="91"/>
      <c r="AB11" s="51" t="str">
        <f>S11</f>
        <v>CMNEVE</v>
      </c>
      <c r="AC11" s="51" t="str">
        <f>T11</f>
        <v>TL-Evening Shift Premium-CMN</v>
      </c>
      <c r="AD11" s="57">
        <f ca="1">U11</f>
        <v>0.67200000000000004</v>
      </c>
      <c r="AE11" s="51"/>
      <c r="AF11" s="51"/>
      <c r="AG11" s="51"/>
      <c r="AH11" s="51"/>
      <c r="AI11" s="51"/>
      <c r="AJ11" s="51"/>
      <c r="AK11" s="51"/>
    </row>
    <row r="12" spans="1:37" s="2" customFormat="1">
      <c r="A12" s="2" t="s">
        <v>53</v>
      </c>
      <c r="P12" s="7"/>
      <c r="R12" s="87"/>
      <c r="S12" s="87"/>
      <c r="T12" s="87"/>
      <c r="U12" s="91"/>
      <c r="V12" s="91"/>
      <c r="W12" s="91"/>
      <c r="X12" s="91"/>
      <c r="Y12" s="91"/>
      <c r="Z12" s="91"/>
      <c r="AA12" s="91"/>
      <c r="AB12" s="51"/>
      <c r="AC12" s="51"/>
      <c r="AD12" s="57"/>
      <c r="AE12" s="51"/>
      <c r="AF12" s="51"/>
      <c r="AG12" s="51"/>
      <c r="AH12" s="51"/>
      <c r="AI12" s="51"/>
      <c r="AJ12" s="51"/>
      <c r="AK12" s="51"/>
    </row>
    <row r="13" spans="1:37" s="2" customFormat="1">
      <c r="P13" s="7"/>
      <c r="R13" s="87"/>
      <c r="S13" s="87"/>
      <c r="T13" s="87"/>
      <c r="U13" s="91"/>
      <c r="V13" s="91"/>
      <c r="W13" s="91"/>
      <c r="X13" s="91"/>
      <c r="Y13" s="91"/>
      <c r="Z13" s="91"/>
      <c r="AA13" s="91"/>
      <c r="AB13" s="51"/>
      <c r="AC13" s="51"/>
      <c r="AD13" s="57"/>
      <c r="AE13" s="51"/>
      <c r="AF13" s="51"/>
      <c r="AG13" s="51"/>
      <c r="AH13" s="51"/>
      <c r="AI13" s="51"/>
      <c r="AJ13" s="51"/>
      <c r="AK13" s="51"/>
    </row>
    <row r="14" spans="1:37" s="2" customFormat="1">
      <c r="A14" s="2" t="str">
        <f ca="1">"In addition to their base rate of pay, employees shall be paid "&amp;TEXT(U14,"$0.000")&amp;" per hour for all hours worked on any shift that begins"</f>
        <v>In addition to their base rate of pay, employees shall be paid $1.596 per hour for all hours worked on any shift that begins</v>
      </c>
      <c r="I14" s="36"/>
      <c r="P14" s="7"/>
      <c r="R14" s="87" t="s">
        <v>81</v>
      </c>
      <c r="S14" s="114" t="s">
        <v>84</v>
      </c>
      <c r="T14" s="114" t="s">
        <v>85</v>
      </c>
      <c r="U14" s="91" cm="1">
        <f t="array" aca="1" ref="U14" ca="1">ROUND(IF($R14="Y",VLOOKUP($S14,INDIRECT($S$2),U$5,0)*INDIRECT($R$1),VLOOKUP($S14,INDIRECT($S$2),U$5,0)),3)</f>
        <v>1.5960000000000001</v>
      </c>
      <c r="V14" s="91"/>
      <c r="W14" s="91"/>
      <c r="X14" s="91"/>
      <c r="Y14" s="91"/>
      <c r="Z14" s="91"/>
      <c r="AA14" s="91"/>
      <c r="AB14" s="51" t="str">
        <f t="shared" ref="AB14:AD14" si="3">S14</f>
        <v>CMNNIT</v>
      </c>
      <c r="AC14" s="51" t="str">
        <f t="shared" si="3"/>
        <v>TL-Night Shift Premium-CMN</v>
      </c>
      <c r="AD14" s="57">
        <f t="shared" ca="1" si="3"/>
        <v>1.5960000000000001</v>
      </c>
      <c r="AE14" s="51"/>
      <c r="AF14" s="51"/>
      <c r="AG14" s="51"/>
      <c r="AH14" s="51"/>
      <c r="AI14" s="51"/>
      <c r="AJ14" s="51"/>
      <c r="AK14" s="51"/>
    </row>
    <row r="15" spans="1:37" s="2" customFormat="1">
      <c r="A15" s="2" t="s">
        <v>95</v>
      </c>
      <c r="B15" s="4"/>
      <c r="C15" s="4"/>
      <c r="E15" s="4"/>
      <c r="F15" s="4"/>
      <c r="G15" s="4"/>
      <c r="H15" s="4"/>
      <c r="I15" s="4"/>
      <c r="J15" s="4"/>
      <c r="K15" s="4"/>
      <c r="L15" s="4"/>
      <c r="P15" s="7"/>
      <c r="R15" s="87"/>
      <c r="S15" s="87"/>
      <c r="T15" s="87"/>
      <c r="U15" s="91"/>
      <c r="V15" s="91"/>
      <c r="W15" s="91"/>
      <c r="X15" s="91"/>
      <c r="Y15" s="91"/>
      <c r="Z15" s="91"/>
      <c r="AA15" s="91"/>
      <c r="AB15" s="51"/>
      <c r="AC15" s="51"/>
      <c r="AD15" s="51"/>
      <c r="AE15" s="51"/>
      <c r="AF15" s="51"/>
      <c r="AG15" s="51"/>
      <c r="AH15" s="51"/>
      <c r="AI15" s="51"/>
      <c r="AJ15" s="51"/>
      <c r="AK15" s="51"/>
    </row>
    <row r="16" spans="1:37" s="2" customFormat="1">
      <c r="B16" s="4"/>
      <c r="C16" s="4"/>
      <c r="E16" s="4"/>
      <c r="F16" s="4"/>
      <c r="G16" s="4"/>
      <c r="H16" s="4"/>
      <c r="I16" s="4"/>
      <c r="J16" s="4"/>
      <c r="K16" s="4"/>
      <c r="L16" s="4"/>
      <c r="P16" s="7"/>
      <c r="R16" s="87"/>
      <c r="S16" s="98" t="s">
        <v>145</v>
      </c>
      <c r="T16" s="87"/>
      <c r="U16" s="91"/>
      <c r="V16" s="91"/>
      <c r="W16" s="91"/>
      <c r="X16" s="91"/>
      <c r="Y16" s="91"/>
      <c r="Z16" s="91"/>
      <c r="AA16" s="91"/>
      <c r="AB16" s="70" t="s">
        <v>145</v>
      </c>
      <c r="AC16" s="51"/>
      <c r="AD16" s="51"/>
      <c r="AE16" s="51"/>
      <c r="AF16" s="51"/>
      <c r="AG16" s="51"/>
      <c r="AH16" s="51"/>
      <c r="AI16" s="51"/>
      <c r="AJ16" s="51"/>
      <c r="AK16" s="51"/>
    </row>
    <row r="17" spans="1:37" s="2" customFormat="1">
      <c r="A17" s="2" t="s">
        <v>24</v>
      </c>
      <c r="P17" s="7"/>
      <c r="R17" s="87" t="s">
        <v>81</v>
      </c>
      <c r="S17" s="87" t="s">
        <v>137</v>
      </c>
      <c r="T17" s="116" t="s">
        <v>147</v>
      </c>
      <c r="U17" s="91" cm="1">
        <f t="array" aca="1" ref="U17" ca="1">ROUND(IF($R17="Y",VLOOKUP($S17,INDIRECT($S$2),U$5,0)*INDIRECT($R$1),VLOOKUP($S17,INDIRECT($S$2),U$5,0)),3)</f>
        <v>1.5960000000000001</v>
      </c>
      <c r="V17" s="91"/>
      <c r="W17" s="91"/>
      <c r="X17" s="91"/>
      <c r="Y17" s="91"/>
      <c r="Z17" s="91"/>
      <c r="AA17" s="91"/>
      <c r="AB17" s="51" t="str">
        <f>S17</f>
        <v>NBF</v>
      </c>
      <c r="AC17" s="65" t="str">
        <f>T17</f>
        <v>Higher shift rate</v>
      </c>
      <c r="AD17" s="57">
        <f ca="1">U17</f>
        <v>1.5960000000000001</v>
      </c>
      <c r="AE17" s="51"/>
      <c r="AF17" s="51"/>
      <c r="AG17" s="51"/>
      <c r="AH17" s="51"/>
      <c r="AI17" s="51"/>
      <c r="AJ17" s="51"/>
      <c r="AK17" s="51"/>
    </row>
    <row r="18" spans="1:37" s="2" customFormat="1">
      <c r="A18" s="2" t="s">
        <v>25</v>
      </c>
      <c r="P18" s="7"/>
      <c r="R18" s="87" t="s">
        <v>81</v>
      </c>
      <c r="S18" s="87" t="s">
        <v>138</v>
      </c>
      <c r="T18" s="87" t="s">
        <v>148</v>
      </c>
      <c r="U18" s="91" cm="1">
        <f t="array" aca="1" ref="U18" ca="1">ROUND(IF($R18="Y",VLOOKUP($S18,INDIRECT($S$2),U$5,0)*INDIRECT($R$1),VLOOKUP($S18,INDIRECT($S$2),U$5,0)),3)</f>
        <v>1.5960000000000001</v>
      </c>
      <c r="V18" s="91"/>
      <c r="W18" s="91"/>
      <c r="X18" s="91"/>
      <c r="Y18" s="91"/>
      <c r="Z18" s="91"/>
      <c r="AA18" s="91"/>
      <c r="AB18" s="51" t="str">
        <f t="shared" ref="AB18:AD24" si="4">S18</f>
        <v>NBT</v>
      </c>
      <c r="AC18" s="65" t="str">
        <f t="shared" si="4"/>
        <v>Higher shift rate x 1.5</v>
      </c>
      <c r="AD18" s="57">
        <f t="shared" ca="1" si="4"/>
        <v>1.5960000000000001</v>
      </c>
      <c r="AE18" s="51"/>
      <c r="AF18" s="51"/>
      <c r="AG18" s="51"/>
      <c r="AH18" s="51"/>
      <c r="AI18" s="51"/>
      <c r="AJ18" s="51"/>
      <c r="AK18" s="51"/>
    </row>
    <row r="19" spans="1:37" s="2" customFormat="1">
      <c r="A19" s="2" t="s">
        <v>26</v>
      </c>
      <c r="P19" s="7"/>
      <c r="R19" s="87" t="s">
        <v>81</v>
      </c>
      <c r="S19" s="87" t="s">
        <v>161</v>
      </c>
      <c r="T19" s="87" t="s">
        <v>146</v>
      </c>
      <c r="U19" s="91">
        <f ca="1">U17</f>
        <v>1.5960000000000001</v>
      </c>
      <c r="V19" s="91"/>
      <c r="W19" s="91"/>
      <c r="X19" s="91"/>
      <c r="Y19" s="91"/>
      <c r="Z19" s="91"/>
      <c r="AA19" s="91"/>
      <c r="AB19" s="51" t="str">
        <f t="shared" si="4"/>
        <v>NBJ</v>
      </c>
      <c r="AC19" s="65" t="str">
        <f t="shared" si="4"/>
        <v>Higher shift rate x 2.0</v>
      </c>
      <c r="AD19" s="57">
        <f t="shared" ca="1" si="4"/>
        <v>1.5960000000000001</v>
      </c>
      <c r="AE19" s="51"/>
      <c r="AF19" s="51"/>
      <c r="AG19" s="51"/>
      <c r="AH19" s="51"/>
      <c r="AI19" s="51"/>
      <c r="AJ19" s="51"/>
      <c r="AK19" s="51"/>
    </row>
    <row r="20" spans="1:3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87" t="s">
        <v>81</v>
      </c>
      <c r="S20" s="87" t="s">
        <v>139</v>
      </c>
      <c r="T20" s="87" t="s">
        <v>162</v>
      </c>
      <c r="U20" s="91">
        <f ca="1">U17</f>
        <v>1.5960000000000001</v>
      </c>
      <c r="V20" s="91"/>
      <c r="W20" s="91"/>
      <c r="X20" s="91"/>
      <c r="Y20" s="91"/>
      <c r="Z20" s="91"/>
      <c r="AA20" s="91"/>
      <c r="AB20" s="51" t="str">
        <f t="shared" si="4"/>
        <v>NBG</v>
      </c>
      <c r="AC20" s="65" t="str">
        <f t="shared" si="4"/>
        <v>Higher shift rate x 2.5</v>
      </c>
      <c r="AD20" s="57">
        <f t="shared" ca="1" si="4"/>
        <v>1.5960000000000001</v>
      </c>
      <c r="AE20" s="51"/>
      <c r="AF20" s="51"/>
      <c r="AG20" s="51"/>
      <c r="AH20" s="51"/>
      <c r="AI20" s="51"/>
      <c r="AJ20" s="51"/>
      <c r="AK20" s="51"/>
    </row>
    <row r="21" spans="1:37" s="2" customForma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87" t="s">
        <v>81</v>
      </c>
      <c r="S21" s="87" t="s">
        <v>134</v>
      </c>
      <c r="T21" s="87" t="s">
        <v>149</v>
      </c>
      <c r="U21" s="91" cm="1">
        <f t="array" aca="1" ref="U21" ca="1">ROUND(IF($R21="Y",VLOOKUP($S21,INDIRECT($S$2),U$5,0)*INDIRECT($R$1),VLOOKUP($S21,INDIRECT($S$2),U$5,0)),3)</f>
        <v>0.67200000000000004</v>
      </c>
      <c r="V21" s="91"/>
      <c r="W21" s="91"/>
      <c r="X21" s="91"/>
      <c r="Y21" s="91"/>
      <c r="Z21" s="91"/>
      <c r="AA21" s="91"/>
      <c r="AB21" s="51" t="str">
        <f t="shared" si="4"/>
        <v>NFF</v>
      </c>
      <c r="AC21" s="65" t="str">
        <f t="shared" si="4"/>
        <v>Lower shift rate</v>
      </c>
      <c r="AD21" s="57">
        <f t="shared" ca="1" si="4"/>
        <v>0.67200000000000004</v>
      </c>
      <c r="AE21" s="51"/>
      <c r="AF21" s="51"/>
      <c r="AG21" s="51"/>
      <c r="AH21" s="51"/>
      <c r="AI21" s="51"/>
      <c r="AJ21" s="51"/>
      <c r="AK21" s="51"/>
    </row>
    <row r="22" spans="1:3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87" t="s">
        <v>81</v>
      </c>
      <c r="S22" s="87" t="s">
        <v>135</v>
      </c>
      <c r="T22" s="87" t="s">
        <v>150</v>
      </c>
      <c r="U22" s="91" cm="1">
        <f t="array" aca="1" ref="U22" ca="1">ROUND(IF($R22="Y",VLOOKUP($S22,INDIRECT($S$2),U$5,0)*INDIRECT($R$1),VLOOKUP($S22,INDIRECT($S$2),U$5,0)),3)</f>
        <v>0.67200000000000004</v>
      </c>
      <c r="V22" s="91"/>
      <c r="W22" s="91"/>
      <c r="X22" s="91"/>
      <c r="Y22" s="91"/>
      <c r="Z22" s="91"/>
      <c r="AA22" s="91"/>
      <c r="AB22" s="51" t="str">
        <f t="shared" si="4"/>
        <v>NFT</v>
      </c>
      <c r="AC22" s="65" t="str">
        <f t="shared" si="4"/>
        <v>Lower shift rate x 1.5</v>
      </c>
      <c r="AD22" s="57">
        <f t="shared" ca="1" si="4"/>
        <v>0.67200000000000004</v>
      </c>
      <c r="AE22" s="51"/>
      <c r="AF22" s="51"/>
      <c r="AG22" s="51"/>
      <c r="AH22" s="51"/>
      <c r="AI22" s="51"/>
      <c r="AJ22" s="51"/>
      <c r="AK22" s="51"/>
    </row>
    <row r="23" spans="1:37" s="2" customFormat="1">
      <c r="B23" s="1"/>
      <c r="C23" s="1"/>
      <c r="D23" s="7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87" t="s">
        <v>81</v>
      </c>
      <c r="S23" s="87" t="s">
        <v>164</v>
      </c>
      <c r="T23" s="87" t="s">
        <v>151</v>
      </c>
      <c r="U23" s="91">
        <f ca="1">U21</f>
        <v>0.67200000000000004</v>
      </c>
      <c r="V23" s="91"/>
      <c r="W23" s="91"/>
      <c r="X23" s="91"/>
      <c r="Y23" s="91"/>
      <c r="Z23" s="91"/>
      <c r="AA23" s="91"/>
      <c r="AB23" s="51" t="str">
        <f t="shared" si="4"/>
        <v>NFJ</v>
      </c>
      <c r="AC23" s="65" t="str">
        <f t="shared" si="4"/>
        <v>Lower shift rate x 2.0</v>
      </c>
      <c r="AD23" s="57">
        <f t="shared" ca="1" si="4"/>
        <v>0.67200000000000004</v>
      </c>
      <c r="AE23" s="51"/>
      <c r="AF23" s="51"/>
      <c r="AG23" s="51"/>
      <c r="AH23" s="51"/>
      <c r="AI23" s="51"/>
      <c r="AJ23" s="51"/>
      <c r="AK23" s="51"/>
    </row>
    <row r="24" spans="1:3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87" t="s">
        <v>81</v>
      </c>
      <c r="S24" s="87" t="s">
        <v>136</v>
      </c>
      <c r="T24" s="87" t="s">
        <v>163</v>
      </c>
      <c r="U24" s="91">
        <f ca="1">U22</f>
        <v>0.67200000000000004</v>
      </c>
      <c r="V24" s="91"/>
      <c r="W24" s="91"/>
      <c r="X24" s="91"/>
      <c r="Y24" s="91"/>
      <c r="Z24" s="91"/>
      <c r="AA24" s="91"/>
      <c r="AB24" s="51" t="str">
        <f t="shared" si="4"/>
        <v>NFG</v>
      </c>
      <c r="AC24" s="65" t="str">
        <f t="shared" si="4"/>
        <v>Lower shift rate x 2.5</v>
      </c>
      <c r="AD24" s="57">
        <f t="shared" ca="1" si="4"/>
        <v>0.67200000000000004</v>
      </c>
      <c r="AE24" s="51"/>
      <c r="AF24" s="51"/>
      <c r="AG24" s="51"/>
      <c r="AH24" s="51"/>
      <c r="AI24" s="51"/>
      <c r="AJ24" s="51"/>
      <c r="AK24" s="51"/>
    </row>
    <row r="25" spans="1:3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87"/>
      <c r="S25" s="87"/>
      <c r="T25" s="87"/>
      <c r="U25" s="91"/>
      <c r="V25" s="91"/>
      <c r="W25" s="91"/>
      <c r="X25" s="91"/>
      <c r="Y25" s="91"/>
      <c r="Z25" s="91"/>
      <c r="AA25" s="91"/>
      <c r="AB25" s="51"/>
      <c r="AC25" s="51"/>
      <c r="AD25" s="51"/>
      <c r="AE25" s="51"/>
      <c r="AF25" s="51"/>
      <c r="AG25" s="51"/>
      <c r="AH25" s="51"/>
      <c r="AI25" s="51"/>
      <c r="AJ25" s="51"/>
      <c r="AK25" s="51"/>
    </row>
    <row r="26" spans="1:37" s="2" customFormat="1">
      <c r="A26" s="86" t="s">
        <v>28</v>
      </c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7"/>
      <c r="N26" s="7"/>
      <c r="O26" s="7"/>
      <c r="P26" s="7"/>
      <c r="R26" s="87"/>
      <c r="S26" s="87"/>
      <c r="T26" s="87"/>
      <c r="U26" s="91"/>
      <c r="V26" s="91"/>
      <c r="W26" s="91"/>
      <c r="X26" s="91"/>
      <c r="Y26" s="91"/>
      <c r="Z26" s="91"/>
      <c r="AA26" s="91"/>
      <c r="AB26" s="51"/>
      <c r="AC26" s="51"/>
      <c r="AD26" s="51"/>
      <c r="AE26" s="51"/>
      <c r="AF26" s="51"/>
      <c r="AG26" s="51"/>
      <c r="AH26" s="51"/>
      <c r="AI26" s="51"/>
      <c r="AJ26" s="51"/>
      <c r="AK26" s="51"/>
    </row>
    <row r="27" spans="1:37" s="2" customFormat="1">
      <c r="A27" s="2" t="s">
        <v>29</v>
      </c>
      <c r="J27" s="4"/>
      <c r="K27" s="4"/>
      <c r="L27" s="4"/>
      <c r="P27" s="7"/>
      <c r="R27" s="87"/>
      <c r="S27" s="98" t="s">
        <v>93</v>
      </c>
      <c r="T27" s="87"/>
      <c r="U27" s="91"/>
      <c r="V27" s="91"/>
      <c r="W27" s="91"/>
      <c r="X27" s="91"/>
      <c r="Y27" s="91"/>
      <c r="Z27" s="91"/>
      <c r="AA27" s="91"/>
      <c r="AB27" s="70" t="s">
        <v>93</v>
      </c>
      <c r="AC27" s="51"/>
      <c r="AD27" s="51"/>
      <c r="AE27" s="51"/>
      <c r="AF27" s="51"/>
      <c r="AG27" s="51"/>
      <c r="AH27" s="51"/>
      <c r="AI27" s="51"/>
      <c r="AJ27" s="51"/>
      <c r="AK27" s="51"/>
    </row>
    <row r="28" spans="1:37" s="2" customFormat="1">
      <c r="A28" s="24">
        <f ca="1">U28</f>
        <v>0.54500000000000004</v>
      </c>
      <c r="B28" s="2" t="s">
        <v>30</v>
      </c>
      <c r="J28" s="4"/>
      <c r="K28" s="4"/>
      <c r="L28" s="4"/>
      <c r="P28" s="7"/>
      <c r="R28" s="87" t="s">
        <v>81</v>
      </c>
      <c r="S28" s="87" t="s">
        <v>86</v>
      </c>
      <c r="T28" s="87"/>
      <c r="U28" s="91" cm="1">
        <f t="array" aca="1" ref="U28" ca="1">ROUND(IF($R28="Y",VLOOKUP($S28,INDIRECT($S$2),U$5,0)*INDIRECT($R$1),VLOOKUP($S28,INDIRECT($S$2),U$5,0)),3)</f>
        <v>0.54500000000000004</v>
      </c>
      <c r="V28" s="91"/>
      <c r="W28" s="91"/>
      <c r="X28" s="91"/>
      <c r="Y28" s="91"/>
      <c r="Z28" s="91"/>
      <c r="AA28" s="91"/>
      <c r="AB28" s="51" t="str">
        <f>S28</f>
        <v>10th Year</v>
      </c>
      <c r="AC28" s="51"/>
      <c r="AD28" s="57">
        <f ca="1">U28</f>
        <v>0.54500000000000004</v>
      </c>
      <c r="AE28" s="51"/>
      <c r="AF28" s="51"/>
      <c r="AG28" s="51"/>
      <c r="AH28" s="51"/>
      <c r="AI28" s="51"/>
      <c r="AJ28" s="51"/>
      <c r="AK28" s="51"/>
    </row>
    <row r="29" spans="1:37" s="2" customFormat="1">
      <c r="A29" s="24">
        <f ca="1">U29</f>
        <v>0.70199999999999996</v>
      </c>
      <c r="B29" s="2" t="s">
        <v>31</v>
      </c>
      <c r="J29" s="4"/>
      <c r="K29" s="4"/>
      <c r="L29" s="4"/>
      <c r="P29" s="7"/>
      <c r="R29" s="87" t="s">
        <v>81</v>
      </c>
      <c r="S29" s="87" t="s">
        <v>87</v>
      </c>
      <c r="T29" s="87"/>
      <c r="U29" s="91" cm="1">
        <f t="array" aca="1" ref="U29" ca="1">ROUND(IF($R29="Y",VLOOKUP($S29,INDIRECT($S$2),U$5,0)*INDIRECT($R$1),VLOOKUP($S29,INDIRECT($S$2),U$5,0)),3)</f>
        <v>0.70199999999999996</v>
      </c>
      <c r="V29" s="91"/>
      <c r="W29" s="91"/>
      <c r="X29" s="91"/>
      <c r="Y29" s="91"/>
      <c r="Z29" s="91"/>
      <c r="AA29" s="91"/>
      <c r="AB29" s="51" t="str">
        <f t="shared" ref="AB29:AB31" si="5">S29</f>
        <v>15th Year</v>
      </c>
      <c r="AC29" s="51"/>
      <c r="AD29" s="57">
        <f t="shared" ref="AD29:AD31" ca="1" si="6">U29</f>
        <v>0.70199999999999996</v>
      </c>
      <c r="AE29" s="51"/>
      <c r="AF29" s="51"/>
      <c r="AG29" s="51"/>
      <c r="AH29" s="51"/>
      <c r="AI29" s="51"/>
      <c r="AJ29" s="51"/>
      <c r="AK29" s="51"/>
    </row>
    <row r="30" spans="1:37" s="2" customFormat="1">
      <c r="A30" s="24">
        <f ca="1">U30</f>
        <v>0.86</v>
      </c>
      <c r="B30" s="2" t="s">
        <v>32</v>
      </c>
      <c r="J30" s="4"/>
      <c r="K30" s="4"/>
      <c r="L30" s="4"/>
      <c r="P30" s="7"/>
      <c r="R30" s="87" t="s">
        <v>81</v>
      </c>
      <c r="S30" s="87" t="s">
        <v>88</v>
      </c>
      <c r="T30" s="87"/>
      <c r="U30" s="91" cm="1">
        <f t="array" aca="1" ref="U30" ca="1">ROUND(IF($R30="Y",VLOOKUP($S30,INDIRECT($S$2),U$5,0)*INDIRECT($R$1),VLOOKUP($S30,INDIRECT($S$2),U$5,0)),3)</f>
        <v>0.86</v>
      </c>
      <c r="V30" s="91"/>
      <c r="W30" s="91"/>
      <c r="X30" s="91"/>
      <c r="Y30" s="91"/>
      <c r="Z30" s="91"/>
      <c r="AA30" s="91"/>
      <c r="AB30" s="51" t="str">
        <f t="shared" si="5"/>
        <v>20th Year</v>
      </c>
      <c r="AC30" s="51"/>
      <c r="AD30" s="57">
        <f t="shared" ca="1" si="6"/>
        <v>0.86</v>
      </c>
      <c r="AE30" s="51"/>
      <c r="AF30" s="51"/>
      <c r="AG30" s="51"/>
      <c r="AH30" s="51"/>
      <c r="AI30" s="51"/>
      <c r="AJ30" s="51"/>
      <c r="AK30" s="51"/>
    </row>
    <row r="31" spans="1:37" s="2" customFormat="1">
      <c r="A31" s="24">
        <f ca="1">U31</f>
        <v>1.018</v>
      </c>
      <c r="B31" s="2" t="s">
        <v>33</v>
      </c>
      <c r="J31" s="4"/>
      <c r="K31" s="4"/>
      <c r="L31" s="4"/>
      <c r="P31" s="7"/>
      <c r="R31" s="87" t="s">
        <v>81</v>
      </c>
      <c r="S31" s="87" t="s">
        <v>89</v>
      </c>
      <c r="T31" s="87"/>
      <c r="U31" s="91" cm="1">
        <f t="array" aca="1" ref="U31" ca="1">ROUND(IF($R31="Y",VLOOKUP($S31,INDIRECT($S$2),U$5,0)*INDIRECT($R$1),VLOOKUP($S31,INDIRECT($S$2),U$5,0)),3)</f>
        <v>1.018</v>
      </c>
      <c r="V31" s="91"/>
      <c r="W31" s="91"/>
      <c r="X31" s="91"/>
      <c r="Y31" s="91"/>
      <c r="Z31" s="91"/>
      <c r="AA31" s="91"/>
      <c r="AB31" s="51" t="str">
        <f t="shared" si="5"/>
        <v>25th Year</v>
      </c>
      <c r="AC31" s="51"/>
      <c r="AD31" s="57">
        <f t="shared" ca="1" si="6"/>
        <v>1.018</v>
      </c>
      <c r="AE31" s="51"/>
      <c r="AF31" s="51"/>
      <c r="AG31" s="51"/>
      <c r="AH31" s="51"/>
      <c r="AI31" s="51"/>
      <c r="AJ31" s="51"/>
      <c r="AK31" s="51"/>
    </row>
    <row r="32" spans="1:37" s="2" customFormat="1">
      <c r="A32" s="1"/>
      <c r="B32" s="1"/>
      <c r="C32" s="1"/>
      <c r="D32" s="7"/>
      <c r="E32" s="1"/>
      <c r="F32" s="1"/>
      <c r="G32" s="1"/>
      <c r="H32" s="1"/>
      <c r="I32" s="1"/>
      <c r="J32" s="1"/>
      <c r="K32" s="1"/>
      <c r="L32" s="1"/>
      <c r="M32" s="7"/>
      <c r="N32" s="7"/>
      <c r="O32" s="1"/>
      <c r="P32" s="1"/>
      <c r="R32" s="87"/>
      <c r="S32" s="87"/>
      <c r="T32" s="87"/>
      <c r="U32" s="91"/>
      <c r="V32" s="91"/>
      <c r="W32" s="91"/>
      <c r="X32" s="91"/>
      <c r="Y32" s="91"/>
      <c r="Z32" s="91"/>
      <c r="AA32" s="91"/>
      <c r="AB32" s="51"/>
      <c r="AC32" s="51"/>
      <c r="AD32" s="51"/>
      <c r="AE32" s="51"/>
      <c r="AF32" s="51"/>
      <c r="AG32" s="51"/>
      <c r="AH32" s="51"/>
      <c r="AI32" s="51"/>
      <c r="AJ32" s="51"/>
      <c r="AK32" s="51"/>
    </row>
    <row r="33" spans="1:37" s="26" customFormat="1">
      <c r="A33" s="25" t="s">
        <v>35</v>
      </c>
      <c r="E33" s="27"/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94"/>
      <c r="S33" s="94"/>
      <c r="T33" s="94"/>
      <c r="U33" s="117"/>
      <c r="V33" s="117"/>
      <c r="W33" s="117"/>
      <c r="X33" s="117"/>
      <c r="Y33" s="117"/>
      <c r="Z33" s="117"/>
      <c r="AA33" s="117"/>
      <c r="AB33" s="63"/>
      <c r="AC33" s="63"/>
      <c r="AD33" s="63"/>
      <c r="AE33" s="63"/>
      <c r="AF33" s="63"/>
      <c r="AG33" s="63"/>
      <c r="AH33" s="63"/>
      <c r="AI33" s="63"/>
      <c r="AJ33" s="63"/>
      <c r="AK33" s="63"/>
    </row>
    <row r="34" spans="1:37" s="2" customFormat="1">
      <c r="A34" s="37" t="s">
        <v>57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87"/>
      <c r="S34" s="87"/>
      <c r="T34" s="87"/>
      <c r="U34" s="91"/>
      <c r="V34" s="91"/>
      <c r="W34" s="91"/>
      <c r="X34" s="91"/>
      <c r="Y34" s="91"/>
      <c r="Z34" s="91"/>
      <c r="AA34" s="91"/>
      <c r="AB34" s="51"/>
      <c r="AC34" s="51"/>
      <c r="AD34" s="51"/>
      <c r="AE34" s="51"/>
      <c r="AF34" s="51"/>
      <c r="AG34" s="51"/>
      <c r="AH34" s="51"/>
      <c r="AI34" s="51"/>
      <c r="AJ34" s="51"/>
      <c r="AK34" s="51"/>
    </row>
    <row r="35" spans="1:37" s="2" customFormat="1">
      <c r="A35" s="2" t="str">
        <f ca="1">"Dispatcher's hourly top-step rate of pay. Coaching/Training Premium = "&amp;TEXT(U35,"$0.000")&amp;" per hour assigned and coaching/training."</f>
        <v>Dispatcher's hourly top-step rate of pay. Coaching/Training Premium = $9.714 per hour assigned and coaching/training.</v>
      </c>
      <c r="G35" s="4"/>
      <c r="J35" s="34"/>
      <c r="K35" s="3"/>
      <c r="M35" s="4"/>
      <c r="N35" s="4"/>
      <c r="O35" s="4"/>
      <c r="P35" s="1"/>
      <c r="R35" s="87" t="s">
        <v>81</v>
      </c>
      <c r="S35" s="87" t="s">
        <v>140</v>
      </c>
      <c r="T35" s="87" t="s">
        <v>35</v>
      </c>
      <c r="U35" s="91">
        <f ca="1">AA8*0.2</f>
        <v>9.7140000000000004</v>
      </c>
      <c r="V35" s="87"/>
      <c r="W35" s="118" t="s">
        <v>96</v>
      </c>
      <c r="X35" s="91"/>
      <c r="Y35" s="91"/>
      <c r="Z35" s="91"/>
      <c r="AA35" s="91"/>
      <c r="AB35" s="51" t="str">
        <f t="shared" ref="AB35:AD35" si="7">S35</f>
        <v>COA</v>
      </c>
      <c r="AC35" s="51" t="str">
        <f t="shared" si="7"/>
        <v>Coaching/Training Premium</v>
      </c>
      <c r="AD35" s="57">
        <f t="shared" ca="1" si="7"/>
        <v>9.7140000000000004</v>
      </c>
      <c r="AE35" s="51"/>
      <c r="AF35" s="51"/>
      <c r="AG35" s="51"/>
      <c r="AH35" s="51"/>
      <c r="AI35" s="51"/>
      <c r="AJ35" s="51"/>
      <c r="AK35" s="51"/>
    </row>
    <row r="36" spans="1:37" s="2" customFormat="1">
      <c r="A36" s="3"/>
      <c r="E36" s="4"/>
      <c r="F36" s="4"/>
      <c r="G36" s="4"/>
      <c r="H36" s="4"/>
      <c r="J36" s="32"/>
      <c r="K36" s="3"/>
      <c r="L36" s="4"/>
      <c r="M36" s="4"/>
      <c r="N36" s="4"/>
      <c r="O36" s="4"/>
      <c r="P36" s="1"/>
      <c r="R36" s="87"/>
      <c r="S36" s="87"/>
      <c r="T36" s="87"/>
      <c r="U36" s="91"/>
      <c r="V36" s="91"/>
      <c r="W36" s="91"/>
      <c r="X36" s="91"/>
      <c r="Y36" s="91"/>
      <c r="Z36" s="91"/>
      <c r="AA36" s="91"/>
      <c r="AB36" s="51"/>
      <c r="AC36" s="51"/>
      <c r="AD36" s="51"/>
      <c r="AE36" s="51"/>
      <c r="AF36" s="51"/>
      <c r="AG36" s="51"/>
      <c r="AH36" s="51"/>
      <c r="AI36" s="51"/>
      <c r="AJ36" s="51"/>
      <c r="AK36" s="51"/>
    </row>
    <row r="37" spans="1:37" s="2" customFormat="1">
      <c r="A37" s="25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87"/>
      <c r="S37" s="87"/>
      <c r="T37" s="87"/>
      <c r="U37" s="91"/>
      <c r="V37" s="91"/>
      <c r="W37" s="91"/>
      <c r="X37" s="91"/>
      <c r="Y37" s="91"/>
      <c r="Z37" s="91"/>
      <c r="AA37" s="91"/>
      <c r="AB37" s="51"/>
      <c r="AC37" s="51"/>
      <c r="AD37" s="51"/>
      <c r="AE37" s="51"/>
      <c r="AF37" s="51"/>
      <c r="AG37" s="51"/>
      <c r="AH37" s="51"/>
      <c r="AI37" s="51"/>
      <c r="AJ37" s="51"/>
      <c r="AK37" s="51"/>
    </row>
    <row r="38" spans="1:37" s="2" customFormat="1">
      <c r="A38" s="40" t="s">
        <v>62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87"/>
      <c r="S38" s="87"/>
      <c r="T38" s="87"/>
      <c r="U38" s="91"/>
      <c r="V38" s="91"/>
      <c r="W38" s="91"/>
      <c r="X38" s="91"/>
      <c r="Y38" s="91"/>
      <c r="Z38" s="91"/>
      <c r="AA38" s="91"/>
      <c r="AB38" s="51"/>
      <c r="AC38" s="51"/>
      <c r="AD38" s="51"/>
      <c r="AE38" s="51"/>
      <c r="AF38" s="51"/>
      <c r="AG38" s="51"/>
      <c r="AH38" s="51"/>
      <c r="AI38" s="51"/>
      <c r="AJ38" s="51"/>
      <c r="AK38" s="51"/>
    </row>
    <row r="39" spans="1:37" s="2" customFormat="1">
      <c r="A39" s="2" t="s">
        <v>63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87"/>
      <c r="S39" s="87"/>
      <c r="T39" s="87"/>
      <c r="U39" s="91"/>
      <c r="V39" s="91"/>
      <c r="W39" s="91"/>
      <c r="X39" s="91"/>
      <c r="Y39" s="91"/>
      <c r="Z39" s="91"/>
      <c r="AA39" s="91"/>
      <c r="AB39" s="51"/>
      <c r="AC39" s="51"/>
      <c r="AD39" s="51"/>
      <c r="AE39" s="51"/>
      <c r="AF39" s="51"/>
      <c r="AG39" s="51"/>
      <c r="AH39" s="51"/>
      <c r="AI39" s="51"/>
      <c r="AJ39" s="51"/>
      <c r="AK39" s="51"/>
    </row>
    <row r="40" spans="1:37" s="2" customFormat="1">
      <c r="I40" s="73" t="s">
        <v>60</v>
      </c>
      <c r="J40" s="12" t="s">
        <v>71</v>
      </c>
      <c r="K40" s="12" t="s">
        <v>72</v>
      </c>
      <c r="L40" s="12" t="s">
        <v>73</v>
      </c>
      <c r="M40" s="12" t="s">
        <v>74</v>
      </c>
      <c r="N40" s="12" t="s">
        <v>75</v>
      </c>
      <c r="O40" s="12" t="s">
        <v>76</v>
      </c>
      <c r="P40" s="12" t="s">
        <v>77</v>
      </c>
      <c r="R40" s="87"/>
      <c r="S40" s="119"/>
      <c r="T40" s="119"/>
      <c r="U40" s="119"/>
      <c r="V40" s="115"/>
      <c r="W40" s="120" t="s">
        <v>98</v>
      </c>
      <c r="X40" s="119"/>
      <c r="Y40" s="119"/>
      <c r="Z40" s="87"/>
      <c r="AA40" s="87"/>
      <c r="AB40" s="51"/>
      <c r="AC40" s="51"/>
      <c r="AD40" s="51"/>
      <c r="AE40" s="51"/>
      <c r="AF40" s="51"/>
      <c r="AG40" s="51"/>
      <c r="AH40" s="51"/>
      <c r="AI40" s="51"/>
      <c r="AJ40" s="51"/>
      <c r="AK40" s="51"/>
    </row>
    <row r="41" spans="1:37">
      <c r="I41" s="74" t="s">
        <v>61</v>
      </c>
      <c r="J41" s="14">
        <f t="shared" ref="J41:P41" ca="1" si="8">ROUND(HLOOKUP(J40,$I$6:$O$8,2)*1.5,3)</f>
        <v>51.12</v>
      </c>
      <c r="K41" s="14">
        <f t="shared" ca="1" si="8"/>
        <v>53.819000000000003</v>
      </c>
      <c r="L41" s="14">
        <f t="shared" ca="1" si="8"/>
        <v>56.654000000000003</v>
      </c>
      <c r="M41" s="14">
        <f t="shared" ca="1" si="8"/>
        <v>59.627000000000002</v>
      </c>
      <c r="N41" s="14">
        <f t="shared" ca="1" si="8"/>
        <v>62.768000000000001</v>
      </c>
      <c r="O41" s="14">
        <f t="shared" ca="1" si="8"/>
        <v>66.067999999999998</v>
      </c>
      <c r="P41" s="14">
        <f t="shared" ca="1" si="8"/>
        <v>69.537000000000006</v>
      </c>
      <c r="S41" s="121"/>
      <c r="T41" s="121"/>
      <c r="U41" s="121"/>
      <c r="V41" s="121"/>
      <c r="W41" s="121"/>
      <c r="X41" s="121"/>
      <c r="Y41" s="121"/>
    </row>
  </sheetData>
  <sheetProtection sheet="1" objects="1" scenarios="1"/>
  <mergeCells count="1">
    <mergeCell ref="A1:O1"/>
  </mergeCells>
  <pageMargins left="0.25" right="0.25" top="0.5" bottom="0.25" header="0.5" footer="0.5"/>
  <pageSetup scale="49" orientation="landscape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4ED7-F62F-440C-8938-0D5B6878FBF0}">
  <sheetPr>
    <pageSetUpPr fitToPage="1"/>
  </sheetPr>
  <dimension ref="A1:AK41"/>
  <sheetViews>
    <sheetView showGridLines="0" zoomScaleNormal="100" workbookViewId="0">
      <selection sqref="A1:O1"/>
    </sheetView>
  </sheetViews>
  <sheetFormatPr defaultColWidth="9.1328125" defaultRowHeight="15.75"/>
  <cols>
    <col min="1" max="1" width="11.86328125" style="29" customWidth="1"/>
    <col min="2" max="2" width="7" style="29" customWidth="1"/>
    <col min="3" max="3" width="4.86328125" style="29" bestFit="1" customWidth="1"/>
    <col min="4" max="4" width="34.1328125" style="29" bestFit="1" customWidth="1"/>
    <col min="5" max="5" width="4.59765625" style="29" bestFit="1" customWidth="1"/>
    <col min="6" max="6" width="7" style="29" bestFit="1" customWidth="1"/>
    <col min="7" max="7" width="6.86328125" style="29" bestFit="1" customWidth="1"/>
    <col min="8" max="8" width="5.73046875" style="29" bestFit="1" customWidth="1"/>
    <col min="9" max="9" width="8.59765625" style="29" customWidth="1"/>
    <col min="10" max="15" width="8.59765625" style="29" bestFit="1" customWidth="1"/>
    <col min="16" max="16" width="8.3984375" style="29" bestFit="1" customWidth="1"/>
    <col min="17" max="17" width="9.1328125" style="29"/>
    <col min="18" max="18" width="16.73046875" style="87" hidden="1" customWidth="1"/>
    <col min="19" max="19" width="15.73046875" style="87" hidden="1" customWidth="1"/>
    <col min="20" max="20" width="34.73046875" style="87" hidden="1" customWidth="1"/>
    <col min="21" max="22" width="8.3984375" style="91" hidden="1" customWidth="1"/>
    <col min="23" max="23" width="10.265625" style="91" hidden="1" customWidth="1"/>
    <col min="24" max="27" width="8.3984375" style="91" hidden="1" customWidth="1"/>
    <col min="28" max="28" width="15.73046875" style="51" hidden="1" customWidth="1"/>
    <col min="29" max="29" width="30.59765625" style="51" hidden="1" customWidth="1"/>
    <col min="30" max="30" width="7.265625" style="51" hidden="1" customWidth="1"/>
    <col min="31" max="37" width="8.3984375" style="51" hidden="1" customWidth="1"/>
    <col min="38" max="16384" width="9.1328125" style="29"/>
  </cols>
  <sheetData>
    <row r="1" spans="1:3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87" t="s">
        <v>171</v>
      </c>
      <c r="S1" s="109">
        <v>1.03</v>
      </c>
      <c r="T1" s="87"/>
      <c r="U1" s="91"/>
      <c r="V1" s="91"/>
      <c r="W1" s="91"/>
      <c r="X1" s="91"/>
      <c r="Y1" s="91"/>
      <c r="Z1" s="91"/>
      <c r="AA1" s="91"/>
      <c r="AB1" s="51"/>
      <c r="AC1" s="51"/>
      <c r="AD1" s="51"/>
      <c r="AE1" s="51"/>
      <c r="AF1" s="51"/>
      <c r="AG1" s="51"/>
      <c r="AH1" s="51"/>
      <c r="AI1" s="51"/>
      <c r="AJ1" s="51"/>
      <c r="AK1" s="51"/>
    </row>
    <row r="2" spans="1:37" s="2" customFormat="1">
      <c r="A2" s="2" t="s">
        <v>172</v>
      </c>
      <c r="C2" s="3"/>
      <c r="D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87" t="s">
        <v>119</v>
      </c>
      <c r="S2" s="110" t="s">
        <v>170</v>
      </c>
      <c r="T2" s="87"/>
      <c r="U2" s="91"/>
      <c r="V2" s="91"/>
      <c r="W2" s="91"/>
      <c r="X2" s="91"/>
      <c r="Y2" s="91"/>
      <c r="Z2" s="91"/>
      <c r="AA2" s="9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s="2" customFormat="1">
      <c r="A3" s="2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87"/>
      <c r="S3" s="87"/>
      <c r="T3" s="87"/>
      <c r="U3" s="91"/>
      <c r="V3" s="91"/>
      <c r="W3" s="91"/>
      <c r="X3" s="91"/>
      <c r="Y3" s="91"/>
      <c r="Z3" s="91"/>
      <c r="AA3" s="9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s="2" customFormat="1" ht="15" customHeight="1">
      <c r="A4" s="126" t="s">
        <v>178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87"/>
      <c r="S4" s="87"/>
      <c r="T4" s="87"/>
      <c r="U4" s="91"/>
      <c r="V4" s="91"/>
      <c r="W4" s="91"/>
      <c r="X4" s="91"/>
      <c r="Y4" s="91"/>
      <c r="Z4" s="91"/>
      <c r="AA4" s="91"/>
      <c r="AB4" s="122" t="s">
        <v>133</v>
      </c>
      <c r="AC4" s="51"/>
      <c r="AD4" s="51"/>
      <c r="AE4" s="51"/>
      <c r="AF4" s="51"/>
      <c r="AG4" s="51"/>
      <c r="AH4" s="51"/>
      <c r="AI4" s="51"/>
      <c r="AJ4" s="51"/>
      <c r="AK4" s="51"/>
    </row>
    <row r="5" spans="1:37" s="2" customFormat="1" ht="15" customHeight="1">
      <c r="B5" s="3"/>
      <c r="C5" s="4"/>
      <c r="D5" s="108"/>
      <c r="E5" s="108"/>
      <c r="F5" s="108"/>
      <c r="G5" s="9"/>
      <c r="H5" s="9"/>
      <c r="I5" s="10"/>
      <c r="J5" s="9"/>
      <c r="K5" s="9"/>
      <c r="L5" s="9"/>
      <c r="M5" s="9"/>
      <c r="N5" s="9"/>
      <c r="O5" s="4"/>
      <c r="P5" s="7"/>
      <c r="R5" s="87"/>
      <c r="S5" s="87"/>
      <c r="T5" s="87"/>
      <c r="U5" s="111">
        <v>3</v>
      </c>
      <c r="V5" s="111">
        <f>U5+1</f>
        <v>4</v>
      </c>
      <c r="W5" s="111">
        <f t="shared" ref="W5:AA5" si="0">V5+1</f>
        <v>5</v>
      </c>
      <c r="X5" s="111">
        <f t="shared" si="0"/>
        <v>6</v>
      </c>
      <c r="Y5" s="111">
        <f t="shared" si="0"/>
        <v>7</v>
      </c>
      <c r="Z5" s="111">
        <f t="shared" si="0"/>
        <v>8</v>
      </c>
      <c r="AA5" s="111">
        <f t="shared" si="0"/>
        <v>9</v>
      </c>
      <c r="AB5" s="51"/>
      <c r="AC5" s="51"/>
      <c r="AD5" s="51"/>
      <c r="AE5" s="51"/>
      <c r="AF5" s="51"/>
      <c r="AG5" s="51"/>
      <c r="AH5" s="51"/>
      <c r="AI5" s="51"/>
      <c r="AJ5" s="51"/>
      <c r="AK5" s="51"/>
    </row>
    <row r="6" spans="1:37" s="2" customFormat="1" ht="31.5" customHeight="1">
      <c r="A6" s="45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68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87" t="s">
        <v>80</v>
      </c>
      <c r="S6" s="124" t="s">
        <v>78</v>
      </c>
      <c r="T6" s="89" t="s">
        <v>14</v>
      </c>
      <c r="U6" s="90" t="s">
        <v>71</v>
      </c>
      <c r="V6" s="90" t="s">
        <v>72</v>
      </c>
      <c r="W6" s="90" t="s">
        <v>73</v>
      </c>
      <c r="X6" s="90" t="s">
        <v>74</v>
      </c>
      <c r="Y6" s="90" t="s">
        <v>75</v>
      </c>
      <c r="Z6" s="90" t="s">
        <v>76</v>
      </c>
      <c r="AA6" s="90" t="s">
        <v>77</v>
      </c>
      <c r="AB6" s="52" t="s">
        <v>78</v>
      </c>
      <c r="AC6" s="53" t="s">
        <v>14</v>
      </c>
      <c r="AD6" s="52" t="s">
        <v>68</v>
      </c>
      <c r="AE6" s="54" t="s">
        <v>71</v>
      </c>
      <c r="AF6" s="54" t="s">
        <v>72</v>
      </c>
      <c r="AG6" s="54" t="s">
        <v>73</v>
      </c>
      <c r="AH6" s="54" t="s">
        <v>74</v>
      </c>
      <c r="AI6" s="54" t="s">
        <v>75</v>
      </c>
      <c r="AJ6" s="54" t="s">
        <v>76</v>
      </c>
      <c r="AK6" s="54" t="s">
        <v>77</v>
      </c>
    </row>
    <row r="7" spans="1:37" s="2" customFormat="1">
      <c r="A7" s="4" t="s">
        <v>113</v>
      </c>
      <c r="B7" s="4" t="s">
        <v>19</v>
      </c>
      <c r="C7" s="4">
        <v>2</v>
      </c>
      <c r="D7" s="7" t="s">
        <v>165</v>
      </c>
      <c r="E7" s="4">
        <v>343</v>
      </c>
      <c r="F7" s="46" t="s">
        <v>157</v>
      </c>
      <c r="G7" s="4">
        <v>7</v>
      </c>
      <c r="H7" s="4" t="s">
        <v>20</v>
      </c>
      <c r="I7" s="14">
        <f ca="1">U7</f>
        <v>35.101999999999997</v>
      </c>
      <c r="J7" s="14">
        <f t="shared" ref="J7:O8" ca="1" si="1">V7</f>
        <v>36.954999999999998</v>
      </c>
      <c r="K7" s="14">
        <f t="shared" ca="1" si="1"/>
        <v>38.902000000000001</v>
      </c>
      <c r="L7" s="14">
        <f t="shared" ca="1" si="1"/>
        <v>40.944000000000003</v>
      </c>
      <c r="M7" s="14">
        <f t="shared" ca="1" si="1"/>
        <v>43.1</v>
      </c>
      <c r="N7" s="14">
        <f t="shared" ca="1" si="1"/>
        <v>45.366</v>
      </c>
      <c r="O7" s="14">
        <f t="shared" ca="1" si="1"/>
        <v>47.749000000000002</v>
      </c>
      <c r="P7" s="7"/>
      <c r="R7" s="87" t="s">
        <v>81</v>
      </c>
      <c r="S7" s="110" t="s">
        <v>113</v>
      </c>
      <c r="T7" s="92" t="str">
        <f>D7</f>
        <v>Public Safety Telecommunicators II</v>
      </c>
      <c r="U7" s="91" cm="1">
        <f t="array" aca="1" ref="U7" ca="1">ROUND(IF($R7="Y",VLOOKUP($S7,INDIRECT($S$2),U$5,0)*INDIRECT($R$1),VLOOKUP($S7,INDIRECT($S$2),U$5,0)),3)</f>
        <v>35.101999999999997</v>
      </c>
      <c r="V7" s="91" cm="1">
        <f t="array" aca="1" ref="V7" ca="1">ROUND(IF($R7="Y",VLOOKUP($S7,INDIRECT($S$2),V$5,0)*INDIRECT($R$1),VLOOKUP($S7,INDIRECT($S$2),V$5,0)),3)</f>
        <v>36.954999999999998</v>
      </c>
      <c r="W7" s="119" cm="1">
        <f t="array" aca="1" ref="W7" ca="1">ROUND(IF($R7="Y",VLOOKUP($S7,INDIRECT($S$2),W$5,0)*INDIRECT($R$1),VLOOKUP($S7,INDIRECT($S$2),W$5,0)),3)</f>
        <v>38.902000000000001</v>
      </c>
      <c r="X7" s="91" cm="1">
        <f t="array" aca="1" ref="X7" ca="1">ROUND(IF($R7="Y",VLOOKUP($S7,INDIRECT($S$2),X$5,0)*INDIRECT($R$1),VLOOKUP($S7,INDIRECT($S$2),X$5,0)),3)</f>
        <v>40.944000000000003</v>
      </c>
      <c r="Y7" s="91" cm="1">
        <f t="array" aca="1" ref="Y7" ca="1">ROUND(IF($R7="Y",VLOOKUP($S7,INDIRECT($S$2),Y$5,0)*INDIRECT($R$1),VLOOKUP($S7,INDIRECT($S$2),Y$5,0)),3)</f>
        <v>43.1</v>
      </c>
      <c r="Z7" s="91" cm="1">
        <f t="array" aca="1" ref="Z7" ca="1">ROUND(IF($R7="Y",VLOOKUP($S7,INDIRECT($S$2),Z$5,0)*INDIRECT($R$1),VLOOKUP($S7,INDIRECT($S$2),Z$5,0)),3)</f>
        <v>45.366</v>
      </c>
      <c r="AA7" s="91" cm="1">
        <f t="array" aca="1" ref="AA7" ca="1">ROUND(IF($R7="Y",VLOOKUP($S7,INDIRECT($S$2),AA$5,0)*INDIRECT($R$1),VLOOKUP($S7,INDIRECT($S$2),AA$5,0)),3)</f>
        <v>47.749000000000002</v>
      </c>
      <c r="AB7" s="51" t="str">
        <f>S7</f>
        <v>00020C</v>
      </c>
      <c r="AC7" s="51" t="str">
        <f>T7</f>
        <v>Public Safety Telecommunicators II</v>
      </c>
      <c r="AD7" s="123" t="str">
        <f>F7</f>
        <v>03</v>
      </c>
      <c r="AE7" s="57">
        <f ca="1">ROUND(U7,3)</f>
        <v>35.101999999999997</v>
      </c>
      <c r="AF7" s="57">
        <f t="shared" ref="AF7:AK8" ca="1" si="2">ROUND(V7,3)</f>
        <v>36.954999999999998</v>
      </c>
      <c r="AG7" s="57">
        <f t="shared" ca="1" si="2"/>
        <v>38.902000000000001</v>
      </c>
      <c r="AH7" s="57">
        <f t="shared" ca="1" si="2"/>
        <v>40.944000000000003</v>
      </c>
      <c r="AI7" s="57">
        <f t="shared" ca="1" si="2"/>
        <v>43.1</v>
      </c>
      <c r="AJ7" s="57">
        <f t="shared" ca="1" si="2"/>
        <v>45.366</v>
      </c>
      <c r="AK7" s="57">
        <f t="shared" ca="1" si="2"/>
        <v>47.749000000000002</v>
      </c>
    </row>
    <row r="8" spans="1:37" s="2" customFormat="1">
      <c r="A8" s="4" t="s">
        <v>21</v>
      </c>
      <c r="B8" s="4" t="s">
        <v>19</v>
      </c>
      <c r="C8" s="4">
        <v>2</v>
      </c>
      <c r="D8" s="7" t="s">
        <v>166</v>
      </c>
      <c r="E8" s="4">
        <v>363</v>
      </c>
      <c r="F8" s="46" t="s">
        <v>158</v>
      </c>
      <c r="G8" s="4">
        <v>8</v>
      </c>
      <c r="H8" s="4" t="s">
        <v>20</v>
      </c>
      <c r="I8" s="14">
        <f ca="1">U8</f>
        <v>36.79</v>
      </c>
      <c r="J8" s="14">
        <f t="shared" ca="1" si="1"/>
        <v>38.712000000000003</v>
      </c>
      <c r="K8" s="14">
        <f t="shared" ca="1" si="1"/>
        <v>40.741</v>
      </c>
      <c r="L8" s="14">
        <f t="shared" ca="1" si="1"/>
        <v>42.881999999999998</v>
      </c>
      <c r="M8" s="14">
        <f t="shared" ca="1" si="1"/>
        <v>45.152000000000001</v>
      </c>
      <c r="N8" s="14">
        <f t="shared" ca="1" si="1"/>
        <v>47.534999999999997</v>
      </c>
      <c r="O8" s="14">
        <f t="shared" ca="1" si="1"/>
        <v>50.027000000000001</v>
      </c>
      <c r="P8" s="7"/>
      <c r="R8" s="87" t="s">
        <v>81</v>
      </c>
      <c r="S8" s="110" t="s">
        <v>21</v>
      </c>
      <c r="T8" s="92" t="str">
        <f>D8</f>
        <v>Public Safety Telecommunicators III</v>
      </c>
      <c r="U8" s="91" cm="1">
        <f t="array" aca="1" ref="U8" ca="1">ROUND(IF($R8="Y",VLOOKUP($S8,INDIRECT($S$2),U$5,0)*INDIRECT($R$1),VLOOKUP($S8,INDIRECT($S$2),U$5,0)),3)</f>
        <v>36.79</v>
      </c>
      <c r="V8" s="91" cm="1">
        <f t="array" aca="1" ref="V8" ca="1">ROUND(IF($R8="Y",VLOOKUP($S8,INDIRECT($S$2),V$5,0)*INDIRECT($R$1),VLOOKUP($S8,INDIRECT($S$2),V$5,0)),3)</f>
        <v>38.712000000000003</v>
      </c>
      <c r="W8" s="119" cm="1">
        <f t="array" aca="1" ref="W8" ca="1">ROUND(IF($R8="Y",VLOOKUP($S8,INDIRECT($S$2),W$5,0)*INDIRECT($R$1),VLOOKUP($S8,INDIRECT($S$2),W$5,0)),3)</f>
        <v>40.741</v>
      </c>
      <c r="X8" s="91" cm="1">
        <f t="array" aca="1" ref="X8" ca="1">ROUND(IF($R8="Y",VLOOKUP($S8,INDIRECT($S$2),X$5,0)*INDIRECT($R$1),VLOOKUP($S8,INDIRECT($S$2),X$5,0)),3)</f>
        <v>42.881999999999998</v>
      </c>
      <c r="Y8" s="91" cm="1">
        <f t="array" aca="1" ref="Y8" ca="1">ROUND(IF($R8="Y",VLOOKUP($S8,INDIRECT($S$2),Y$5,0)*INDIRECT($R$1),VLOOKUP($S8,INDIRECT($S$2),Y$5,0)),3)</f>
        <v>45.152000000000001</v>
      </c>
      <c r="Z8" s="91" cm="1">
        <f t="array" aca="1" ref="Z8" ca="1">ROUND(IF($R8="Y",VLOOKUP($S8,INDIRECT($S$2),Z$5,0)*INDIRECT($R$1),VLOOKUP($S8,INDIRECT($S$2),Z$5,0)),3)</f>
        <v>47.534999999999997</v>
      </c>
      <c r="AA8" s="91" cm="1">
        <f t="array" aca="1" ref="AA8" ca="1">ROUND(IF($R8="Y",VLOOKUP($S8,INDIRECT($S$2),AA$5,0)*INDIRECT($R$1),VLOOKUP($S8,INDIRECT($S$2),AA$5,0)),3)</f>
        <v>50.027000000000001</v>
      </c>
      <c r="AB8" s="51" t="str">
        <f>S8</f>
        <v>00011C</v>
      </c>
      <c r="AC8" s="51" t="str">
        <f>T8</f>
        <v>Public Safety Telecommunicators III</v>
      </c>
      <c r="AD8" s="123" t="str">
        <f>F8</f>
        <v>04</v>
      </c>
      <c r="AE8" s="57">
        <f ca="1">ROUND(U8,3)</f>
        <v>36.79</v>
      </c>
      <c r="AF8" s="57">
        <f t="shared" ca="1" si="2"/>
        <v>38.712000000000003</v>
      </c>
      <c r="AG8" s="57">
        <f t="shared" ca="1" si="2"/>
        <v>40.741</v>
      </c>
      <c r="AH8" s="57">
        <f t="shared" ca="1" si="2"/>
        <v>42.881999999999998</v>
      </c>
      <c r="AI8" s="57">
        <f t="shared" ca="1" si="2"/>
        <v>45.152000000000001</v>
      </c>
      <c r="AJ8" s="57">
        <f t="shared" ca="1" si="2"/>
        <v>47.534999999999997</v>
      </c>
      <c r="AK8" s="57">
        <f t="shared" ca="1" si="2"/>
        <v>50.027000000000001</v>
      </c>
    </row>
    <row r="9" spans="1:37" s="7" customFormat="1" ht="16.149999999999999" thickBot="1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R9" s="112"/>
      <c r="S9" s="112"/>
      <c r="T9" s="112"/>
      <c r="U9" s="113"/>
      <c r="V9" s="113"/>
      <c r="W9" s="113"/>
      <c r="X9" s="113"/>
      <c r="Y9" s="113"/>
      <c r="Z9" s="113"/>
      <c r="AA9" s="113"/>
      <c r="AB9" s="56"/>
      <c r="AC9" s="56"/>
      <c r="AD9" s="56"/>
      <c r="AE9" s="56"/>
      <c r="AF9" s="56"/>
      <c r="AG9" s="56"/>
      <c r="AH9" s="56"/>
      <c r="AI9" s="56"/>
      <c r="AJ9" s="56"/>
      <c r="AK9" s="56"/>
    </row>
    <row r="10" spans="1:37" s="2" customFormat="1">
      <c r="A10" s="108" t="s">
        <v>56</v>
      </c>
      <c r="B10" s="4"/>
      <c r="C10" s="4"/>
      <c r="E10" s="4"/>
      <c r="F10" s="4"/>
      <c r="G10" s="4"/>
      <c r="H10" s="4"/>
      <c r="I10" s="4"/>
      <c r="J10" s="4"/>
      <c r="K10" s="4"/>
      <c r="L10" s="4"/>
      <c r="P10" s="7"/>
      <c r="R10" s="87"/>
      <c r="S10" s="87"/>
      <c r="T10" s="87"/>
      <c r="U10" s="91"/>
      <c r="V10" s="91"/>
      <c r="W10" s="91"/>
      <c r="X10" s="91"/>
      <c r="Y10" s="91"/>
      <c r="Z10" s="91"/>
      <c r="AA10" s="91"/>
      <c r="AB10" s="51"/>
      <c r="AC10" s="51"/>
      <c r="AD10" s="51"/>
      <c r="AE10" s="51"/>
      <c r="AF10" s="51"/>
      <c r="AG10" s="51"/>
      <c r="AH10" s="51"/>
      <c r="AI10" s="51"/>
      <c r="AJ10" s="51"/>
      <c r="AK10" s="51"/>
    </row>
    <row r="11" spans="1:37" s="2" customFormat="1">
      <c r="A11" s="2" t="str">
        <f ca="1">"In addition to their base rate of pay, employees shall be paid "&amp;TEXT(U11,"$0.000")&amp; " per hour for all hours worked on any shift that begins"</f>
        <v>In addition to their base rate of pay, employees shall be paid $0.692 per hour for all hours worked on any shift that begins</v>
      </c>
      <c r="B11" s="4"/>
      <c r="C11" s="4"/>
      <c r="E11" s="4"/>
      <c r="F11" s="4"/>
      <c r="G11" s="4"/>
      <c r="I11" s="36"/>
      <c r="J11" s="3"/>
      <c r="K11" s="3"/>
      <c r="L11" s="3"/>
      <c r="M11" s="3"/>
      <c r="N11" s="3"/>
      <c r="P11" s="7"/>
      <c r="R11" s="87" t="s">
        <v>81</v>
      </c>
      <c r="S11" s="114" t="s">
        <v>82</v>
      </c>
      <c r="T11" s="114" t="s">
        <v>83</v>
      </c>
      <c r="U11" s="91" cm="1">
        <f t="array" aca="1" ref="U11" ca="1">ROUND(IF($R11="Y",VLOOKUP($S11,INDIRECT($S$2),U$5,0)*INDIRECT($R$1),VLOOKUP($S11,INDIRECT($S$2),U$5,0)),3)</f>
        <v>0.69199999999999995</v>
      </c>
      <c r="V11" s="91"/>
      <c r="W11" s="91"/>
      <c r="X11" s="115"/>
      <c r="Y11" s="91"/>
      <c r="Z11" s="91"/>
      <c r="AA11" s="91"/>
      <c r="AB11" s="51" t="str">
        <f>S11</f>
        <v>CMNEVE</v>
      </c>
      <c r="AC11" s="51" t="str">
        <f>T11</f>
        <v>TL-Evening Shift Premium-CMN</v>
      </c>
      <c r="AD11" s="57">
        <f ca="1">U11</f>
        <v>0.69199999999999995</v>
      </c>
      <c r="AE11" s="51"/>
      <c r="AF11" s="51"/>
      <c r="AG11" s="51"/>
      <c r="AH11" s="51"/>
      <c r="AI11" s="51"/>
      <c r="AJ11" s="51"/>
      <c r="AK11" s="51"/>
    </row>
    <row r="12" spans="1:37" s="2" customFormat="1">
      <c r="A12" s="2" t="s">
        <v>53</v>
      </c>
      <c r="P12" s="7"/>
      <c r="R12" s="87"/>
      <c r="S12" s="87"/>
      <c r="T12" s="87"/>
      <c r="U12" s="91"/>
      <c r="V12" s="91"/>
      <c r="W12" s="91"/>
      <c r="X12" s="91"/>
      <c r="Y12" s="91"/>
      <c r="Z12" s="91"/>
      <c r="AA12" s="91"/>
      <c r="AB12" s="51"/>
      <c r="AC12" s="51"/>
      <c r="AD12" s="57"/>
      <c r="AE12" s="51"/>
      <c r="AF12" s="51"/>
      <c r="AG12" s="51"/>
      <c r="AH12" s="51"/>
      <c r="AI12" s="51"/>
      <c r="AJ12" s="51"/>
      <c r="AK12" s="51"/>
    </row>
    <row r="13" spans="1:37" s="2" customFormat="1">
      <c r="P13" s="7"/>
      <c r="R13" s="87"/>
      <c r="S13" s="87"/>
      <c r="T13" s="87"/>
      <c r="U13" s="91"/>
      <c r="V13" s="91"/>
      <c r="W13" s="91"/>
      <c r="X13" s="91"/>
      <c r="Y13" s="91"/>
      <c r="Z13" s="91"/>
      <c r="AA13" s="91"/>
      <c r="AB13" s="51"/>
      <c r="AC13" s="51"/>
      <c r="AD13" s="57"/>
      <c r="AE13" s="51"/>
      <c r="AF13" s="51"/>
      <c r="AG13" s="51"/>
      <c r="AH13" s="51"/>
      <c r="AI13" s="51"/>
      <c r="AJ13" s="51"/>
      <c r="AK13" s="51"/>
    </row>
    <row r="14" spans="1:37" s="2" customFormat="1">
      <c r="A14" s="2" t="str">
        <f ca="1">"In addition to their base rate of pay, employees shall be paid "&amp;TEXT(U14,"$0.000")&amp;" per hour for all hours worked on any shift that begins"</f>
        <v>In addition to their base rate of pay, employees shall be paid $1.644 per hour for all hours worked on any shift that begins</v>
      </c>
      <c r="I14" s="36"/>
      <c r="P14" s="7"/>
      <c r="R14" s="87" t="s">
        <v>81</v>
      </c>
      <c r="S14" s="114" t="s">
        <v>84</v>
      </c>
      <c r="T14" s="114" t="s">
        <v>85</v>
      </c>
      <c r="U14" s="91" cm="1">
        <f t="array" aca="1" ref="U14" ca="1">ROUND(IF($R14="Y",VLOOKUP($S14,INDIRECT($S$2),U$5,0)*INDIRECT($R$1),VLOOKUP($S14,INDIRECT($S$2),U$5,0)),3)</f>
        <v>1.6439999999999999</v>
      </c>
      <c r="V14" s="91"/>
      <c r="W14" s="91"/>
      <c r="X14" s="91"/>
      <c r="Y14" s="91"/>
      <c r="Z14" s="91"/>
      <c r="AA14" s="91"/>
      <c r="AB14" s="51" t="str">
        <f t="shared" ref="AB14:AD14" si="3">S14</f>
        <v>CMNNIT</v>
      </c>
      <c r="AC14" s="51" t="str">
        <f t="shared" si="3"/>
        <v>TL-Night Shift Premium-CMN</v>
      </c>
      <c r="AD14" s="57">
        <f t="shared" ca="1" si="3"/>
        <v>1.6439999999999999</v>
      </c>
      <c r="AE14" s="51"/>
      <c r="AF14" s="51"/>
      <c r="AG14" s="51"/>
      <c r="AH14" s="51"/>
      <c r="AI14" s="51"/>
      <c r="AJ14" s="51"/>
      <c r="AK14" s="51"/>
    </row>
    <row r="15" spans="1:37" s="2" customFormat="1">
      <c r="A15" s="2" t="s">
        <v>95</v>
      </c>
      <c r="B15" s="4"/>
      <c r="C15" s="4"/>
      <c r="E15" s="4"/>
      <c r="F15" s="4"/>
      <c r="G15" s="4"/>
      <c r="H15" s="4"/>
      <c r="I15" s="4"/>
      <c r="J15" s="4"/>
      <c r="K15" s="4"/>
      <c r="L15" s="4"/>
      <c r="P15" s="7"/>
      <c r="R15" s="87"/>
      <c r="S15" s="87"/>
      <c r="T15" s="87"/>
      <c r="U15" s="91"/>
      <c r="V15" s="91"/>
      <c r="W15" s="91"/>
      <c r="X15" s="91"/>
      <c r="Y15" s="91"/>
      <c r="Z15" s="91"/>
      <c r="AA15" s="91"/>
      <c r="AB15" s="51"/>
      <c r="AC15" s="51"/>
      <c r="AD15" s="51"/>
      <c r="AE15" s="51"/>
      <c r="AF15" s="51"/>
      <c r="AG15" s="51"/>
      <c r="AH15" s="51"/>
      <c r="AI15" s="51"/>
      <c r="AJ15" s="51"/>
      <c r="AK15" s="51"/>
    </row>
    <row r="16" spans="1:37" s="2" customFormat="1">
      <c r="B16" s="4"/>
      <c r="C16" s="4"/>
      <c r="E16" s="4"/>
      <c r="F16" s="4"/>
      <c r="G16" s="4"/>
      <c r="H16" s="4"/>
      <c r="I16" s="4"/>
      <c r="J16" s="4"/>
      <c r="K16" s="4"/>
      <c r="L16" s="4"/>
      <c r="P16" s="7"/>
      <c r="R16" s="87"/>
      <c r="S16" s="98" t="s">
        <v>145</v>
      </c>
      <c r="T16" s="87"/>
      <c r="U16" s="91"/>
      <c r="V16" s="91"/>
      <c r="W16" s="91"/>
      <c r="X16" s="91"/>
      <c r="Y16" s="91"/>
      <c r="Z16" s="91"/>
      <c r="AA16" s="91"/>
      <c r="AB16" s="70" t="s">
        <v>145</v>
      </c>
      <c r="AC16" s="51"/>
      <c r="AD16" s="51"/>
      <c r="AE16" s="51"/>
      <c r="AF16" s="51"/>
      <c r="AG16" s="51"/>
      <c r="AH16" s="51"/>
      <c r="AI16" s="51"/>
      <c r="AJ16" s="51"/>
      <c r="AK16" s="51"/>
    </row>
    <row r="17" spans="1:37" s="2" customFormat="1">
      <c r="A17" s="2" t="s">
        <v>24</v>
      </c>
      <c r="P17" s="7"/>
      <c r="R17" s="87" t="s">
        <v>81</v>
      </c>
      <c r="S17" s="87" t="s">
        <v>137</v>
      </c>
      <c r="T17" s="116" t="s">
        <v>147</v>
      </c>
      <c r="U17" s="91" cm="1">
        <f t="array" aca="1" ref="U17" ca="1">ROUND(IF($R17="Y",VLOOKUP($S17,INDIRECT($S$2),U$5,0)*INDIRECT($R$1),VLOOKUP($S17,INDIRECT($S$2),U$5,0)),3)</f>
        <v>1.6439999999999999</v>
      </c>
      <c r="V17" s="91"/>
      <c r="W17" s="91"/>
      <c r="X17" s="91"/>
      <c r="Y17" s="91"/>
      <c r="Z17" s="91"/>
      <c r="AA17" s="91"/>
      <c r="AB17" s="51" t="str">
        <f>S17</f>
        <v>NBF</v>
      </c>
      <c r="AC17" s="65" t="str">
        <f>T17</f>
        <v>Higher shift rate</v>
      </c>
      <c r="AD17" s="57">
        <f ca="1">U17</f>
        <v>1.6439999999999999</v>
      </c>
      <c r="AE17" s="51"/>
      <c r="AF17" s="51"/>
      <c r="AG17" s="51"/>
      <c r="AH17" s="51"/>
      <c r="AI17" s="51"/>
      <c r="AJ17" s="51"/>
      <c r="AK17" s="51"/>
    </row>
    <row r="18" spans="1:37" s="2" customFormat="1">
      <c r="A18" s="2" t="s">
        <v>25</v>
      </c>
      <c r="P18" s="7"/>
      <c r="R18" s="87" t="s">
        <v>81</v>
      </c>
      <c r="S18" s="87" t="s">
        <v>138</v>
      </c>
      <c r="T18" s="87" t="s">
        <v>148</v>
      </c>
      <c r="U18" s="91" cm="1">
        <f t="array" aca="1" ref="U18" ca="1">ROUND(IF($R18="Y",VLOOKUP($S18,INDIRECT($S$2),U$5,0)*INDIRECT($R$1),VLOOKUP($S18,INDIRECT($S$2),U$5,0)),3)</f>
        <v>1.6439999999999999</v>
      </c>
      <c r="V18" s="91"/>
      <c r="W18" s="91"/>
      <c r="X18" s="91"/>
      <c r="Y18" s="91"/>
      <c r="Z18" s="91"/>
      <c r="AA18" s="91"/>
      <c r="AB18" s="51" t="str">
        <f t="shared" ref="AB18:AD24" si="4">S18</f>
        <v>NBT</v>
      </c>
      <c r="AC18" s="65" t="str">
        <f t="shared" si="4"/>
        <v>Higher shift rate x 1.5</v>
      </c>
      <c r="AD18" s="57">
        <f t="shared" ca="1" si="4"/>
        <v>1.6439999999999999</v>
      </c>
      <c r="AE18" s="51"/>
      <c r="AF18" s="51"/>
      <c r="AG18" s="51"/>
      <c r="AH18" s="51"/>
      <c r="AI18" s="51"/>
      <c r="AJ18" s="51"/>
      <c r="AK18" s="51"/>
    </row>
    <row r="19" spans="1:37" s="2" customFormat="1">
      <c r="A19" s="2" t="s">
        <v>26</v>
      </c>
      <c r="P19" s="7"/>
      <c r="R19" s="87" t="s">
        <v>81</v>
      </c>
      <c r="S19" s="87" t="s">
        <v>161</v>
      </c>
      <c r="T19" s="87" t="s">
        <v>146</v>
      </c>
      <c r="U19" s="91">
        <f ca="1">U17</f>
        <v>1.6439999999999999</v>
      </c>
      <c r="V19" s="91"/>
      <c r="W19" s="91"/>
      <c r="X19" s="91"/>
      <c r="Y19" s="91"/>
      <c r="Z19" s="91"/>
      <c r="AA19" s="91"/>
      <c r="AB19" s="51" t="str">
        <f t="shared" si="4"/>
        <v>NBJ</v>
      </c>
      <c r="AC19" s="65" t="str">
        <f t="shared" si="4"/>
        <v>Higher shift rate x 2.0</v>
      </c>
      <c r="AD19" s="57">
        <f t="shared" ca="1" si="4"/>
        <v>1.6439999999999999</v>
      </c>
      <c r="AE19" s="51"/>
      <c r="AF19" s="51"/>
      <c r="AG19" s="51"/>
      <c r="AH19" s="51"/>
      <c r="AI19" s="51"/>
      <c r="AJ19" s="51"/>
      <c r="AK19" s="51"/>
    </row>
    <row r="20" spans="1:3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87" t="s">
        <v>81</v>
      </c>
      <c r="S20" s="87" t="s">
        <v>139</v>
      </c>
      <c r="T20" s="87" t="s">
        <v>162</v>
      </c>
      <c r="U20" s="91">
        <f ca="1">U17</f>
        <v>1.6439999999999999</v>
      </c>
      <c r="V20" s="91"/>
      <c r="W20" s="91"/>
      <c r="X20" s="91"/>
      <c r="Y20" s="91"/>
      <c r="Z20" s="91"/>
      <c r="AA20" s="91"/>
      <c r="AB20" s="51" t="str">
        <f t="shared" si="4"/>
        <v>NBG</v>
      </c>
      <c r="AC20" s="65" t="str">
        <f t="shared" si="4"/>
        <v>Higher shift rate x 2.5</v>
      </c>
      <c r="AD20" s="57">
        <f t="shared" ca="1" si="4"/>
        <v>1.6439999999999999</v>
      </c>
      <c r="AE20" s="51"/>
      <c r="AF20" s="51"/>
      <c r="AG20" s="51"/>
      <c r="AH20" s="51"/>
      <c r="AI20" s="51"/>
      <c r="AJ20" s="51"/>
      <c r="AK20" s="51"/>
    </row>
    <row r="21" spans="1:37" s="2" customForma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87" t="s">
        <v>81</v>
      </c>
      <c r="S21" s="87" t="s">
        <v>134</v>
      </c>
      <c r="T21" s="87" t="s">
        <v>149</v>
      </c>
      <c r="U21" s="91" cm="1">
        <f t="array" aca="1" ref="U21" ca="1">ROUND(IF($R21="Y",VLOOKUP($S21,INDIRECT($S$2),U$5,0)*INDIRECT($R$1),VLOOKUP($S21,INDIRECT($S$2),U$5,0)),3)</f>
        <v>0.69199999999999995</v>
      </c>
      <c r="V21" s="91"/>
      <c r="W21" s="91"/>
      <c r="X21" s="91"/>
      <c r="Y21" s="91"/>
      <c r="Z21" s="91"/>
      <c r="AA21" s="91"/>
      <c r="AB21" s="51" t="str">
        <f t="shared" si="4"/>
        <v>NFF</v>
      </c>
      <c r="AC21" s="65" t="str">
        <f t="shared" si="4"/>
        <v>Lower shift rate</v>
      </c>
      <c r="AD21" s="57">
        <f t="shared" ca="1" si="4"/>
        <v>0.69199999999999995</v>
      </c>
      <c r="AE21" s="51"/>
      <c r="AF21" s="51"/>
      <c r="AG21" s="51"/>
      <c r="AH21" s="51"/>
      <c r="AI21" s="51"/>
      <c r="AJ21" s="51"/>
      <c r="AK21" s="51"/>
    </row>
    <row r="22" spans="1:3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87" t="s">
        <v>81</v>
      </c>
      <c r="S22" s="87" t="s">
        <v>135</v>
      </c>
      <c r="T22" s="87" t="s">
        <v>150</v>
      </c>
      <c r="U22" s="91" cm="1">
        <f t="array" aca="1" ref="U22" ca="1">ROUND(IF($R22="Y",VLOOKUP($S22,INDIRECT($S$2),U$5,0)*INDIRECT($R$1),VLOOKUP($S22,INDIRECT($S$2),U$5,0)),3)</f>
        <v>0.69199999999999995</v>
      </c>
      <c r="V22" s="91"/>
      <c r="W22" s="91"/>
      <c r="X22" s="91"/>
      <c r="Y22" s="91"/>
      <c r="Z22" s="91"/>
      <c r="AA22" s="91"/>
      <c r="AB22" s="51" t="str">
        <f t="shared" si="4"/>
        <v>NFT</v>
      </c>
      <c r="AC22" s="65" t="str">
        <f t="shared" si="4"/>
        <v>Lower shift rate x 1.5</v>
      </c>
      <c r="AD22" s="57">
        <f t="shared" ca="1" si="4"/>
        <v>0.69199999999999995</v>
      </c>
      <c r="AE22" s="51"/>
      <c r="AF22" s="51"/>
      <c r="AG22" s="51"/>
      <c r="AH22" s="51"/>
      <c r="AI22" s="51"/>
      <c r="AJ22" s="51"/>
      <c r="AK22" s="51"/>
    </row>
    <row r="23" spans="1:37" s="2" customFormat="1">
      <c r="B23" s="1"/>
      <c r="C23" s="1"/>
      <c r="D23" s="7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87" t="s">
        <v>81</v>
      </c>
      <c r="S23" s="87" t="s">
        <v>164</v>
      </c>
      <c r="T23" s="87" t="s">
        <v>151</v>
      </c>
      <c r="U23" s="91">
        <f ca="1">U21</f>
        <v>0.69199999999999995</v>
      </c>
      <c r="V23" s="91"/>
      <c r="W23" s="91"/>
      <c r="X23" s="91"/>
      <c r="Y23" s="91"/>
      <c r="Z23" s="91"/>
      <c r="AA23" s="91"/>
      <c r="AB23" s="51" t="str">
        <f t="shared" si="4"/>
        <v>NFJ</v>
      </c>
      <c r="AC23" s="65" t="str">
        <f t="shared" si="4"/>
        <v>Lower shift rate x 2.0</v>
      </c>
      <c r="AD23" s="57">
        <f t="shared" ca="1" si="4"/>
        <v>0.69199999999999995</v>
      </c>
      <c r="AE23" s="51"/>
      <c r="AF23" s="51"/>
      <c r="AG23" s="51"/>
      <c r="AH23" s="51"/>
      <c r="AI23" s="51"/>
      <c r="AJ23" s="51"/>
      <c r="AK23" s="51"/>
    </row>
    <row r="24" spans="1:3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87" t="s">
        <v>81</v>
      </c>
      <c r="S24" s="87" t="s">
        <v>136</v>
      </c>
      <c r="T24" s="87" t="s">
        <v>163</v>
      </c>
      <c r="U24" s="91">
        <f ca="1">U22</f>
        <v>0.69199999999999995</v>
      </c>
      <c r="V24" s="91"/>
      <c r="W24" s="91"/>
      <c r="X24" s="91"/>
      <c r="Y24" s="91"/>
      <c r="Z24" s="91"/>
      <c r="AA24" s="91"/>
      <c r="AB24" s="51" t="str">
        <f t="shared" si="4"/>
        <v>NFG</v>
      </c>
      <c r="AC24" s="65" t="str">
        <f t="shared" si="4"/>
        <v>Lower shift rate x 2.5</v>
      </c>
      <c r="AD24" s="57">
        <f t="shared" ca="1" si="4"/>
        <v>0.69199999999999995</v>
      </c>
      <c r="AE24" s="51"/>
      <c r="AF24" s="51"/>
      <c r="AG24" s="51"/>
      <c r="AH24" s="51"/>
      <c r="AI24" s="51"/>
      <c r="AJ24" s="51"/>
      <c r="AK24" s="51"/>
    </row>
    <row r="25" spans="1:3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87"/>
      <c r="S25" s="87"/>
      <c r="T25" s="87"/>
      <c r="U25" s="91"/>
      <c r="V25" s="91"/>
      <c r="W25" s="91"/>
      <c r="X25" s="91"/>
      <c r="Y25" s="91"/>
      <c r="Z25" s="91"/>
      <c r="AA25" s="91"/>
      <c r="AB25" s="51"/>
      <c r="AC25" s="51"/>
      <c r="AD25" s="51"/>
      <c r="AE25" s="51"/>
      <c r="AF25" s="51"/>
      <c r="AG25" s="51"/>
      <c r="AH25" s="51"/>
      <c r="AI25" s="51"/>
      <c r="AJ25" s="51"/>
      <c r="AK25" s="51"/>
    </row>
    <row r="26" spans="1:37" s="2" customFormat="1">
      <c r="A26" s="86" t="s">
        <v>28</v>
      </c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7"/>
      <c r="N26" s="7"/>
      <c r="O26" s="7"/>
      <c r="P26" s="7"/>
      <c r="R26" s="87"/>
      <c r="S26" s="87"/>
      <c r="T26" s="87"/>
      <c r="U26" s="91"/>
      <c r="V26" s="91"/>
      <c r="W26" s="91"/>
      <c r="X26" s="91"/>
      <c r="Y26" s="91"/>
      <c r="Z26" s="91"/>
      <c r="AA26" s="91"/>
      <c r="AB26" s="51"/>
      <c r="AC26" s="51"/>
      <c r="AD26" s="51"/>
      <c r="AE26" s="51"/>
      <c r="AF26" s="51"/>
      <c r="AG26" s="51"/>
      <c r="AH26" s="51"/>
      <c r="AI26" s="51"/>
      <c r="AJ26" s="51"/>
      <c r="AK26" s="51"/>
    </row>
    <row r="27" spans="1:37" s="2" customFormat="1">
      <c r="A27" s="2" t="s">
        <v>29</v>
      </c>
      <c r="J27" s="4"/>
      <c r="K27" s="4"/>
      <c r="L27" s="4"/>
      <c r="P27" s="7"/>
      <c r="R27" s="87"/>
      <c r="S27" s="98" t="s">
        <v>93</v>
      </c>
      <c r="T27" s="87"/>
      <c r="U27" s="91"/>
      <c r="V27" s="91"/>
      <c r="W27" s="91"/>
      <c r="X27" s="91"/>
      <c r="Y27" s="91"/>
      <c r="Z27" s="91"/>
      <c r="AA27" s="91"/>
      <c r="AB27" s="70" t="s">
        <v>93</v>
      </c>
      <c r="AC27" s="51"/>
      <c r="AD27" s="51"/>
      <c r="AE27" s="51"/>
      <c r="AF27" s="51"/>
      <c r="AG27" s="51"/>
      <c r="AH27" s="51"/>
      <c r="AI27" s="51"/>
      <c r="AJ27" s="51"/>
      <c r="AK27" s="51"/>
    </row>
    <row r="28" spans="1:37" s="2" customFormat="1">
      <c r="A28" s="24">
        <f ca="1">U28</f>
        <v>0.56100000000000005</v>
      </c>
      <c r="B28" s="2" t="s">
        <v>30</v>
      </c>
      <c r="J28" s="4"/>
      <c r="K28" s="4"/>
      <c r="L28" s="4"/>
      <c r="P28" s="7"/>
      <c r="R28" s="87" t="s">
        <v>81</v>
      </c>
      <c r="S28" s="87" t="s">
        <v>86</v>
      </c>
      <c r="T28" s="87"/>
      <c r="U28" s="91" cm="1">
        <f t="array" aca="1" ref="U28" ca="1">ROUND(IF($R28="Y",VLOOKUP($S28,INDIRECT($S$2),U$5,0)*INDIRECT($R$1),VLOOKUP($S28,INDIRECT($S$2),U$5,0)),3)</f>
        <v>0.56100000000000005</v>
      </c>
      <c r="V28" s="91"/>
      <c r="W28" s="91"/>
      <c r="X28" s="91"/>
      <c r="Y28" s="91"/>
      <c r="Z28" s="91"/>
      <c r="AA28" s="91"/>
      <c r="AB28" s="51" t="str">
        <f>S28</f>
        <v>10th Year</v>
      </c>
      <c r="AC28" s="51"/>
      <c r="AD28" s="57">
        <f ca="1">U28</f>
        <v>0.56100000000000005</v>
      </c>
      <c r="AE28" s="51"/>
      <c r="AF28" s="51"/>
      <c r="AG28" s="51"/>
      <c r="AH28" s="51"/>
      <c r="AI28" s="51"/>
      <c r="AJ28" s="51"/>
      <c r="AK28" s="51"/>
    </row>
    <row r="29" spans="1:37" s="2" customFormat="1">
      <c r="A29" s="24">
        <f ca="1">U29</f>
        <v>0.72299999999999998</v>
      </c>
      <c r="B29" s="2" t="s">
        <v>31</v>
      </c>
      <c r="J29" s="4"/>
      <c r="K29" s="4"/>
      <c r="L29" s="4"/>
      <c r="P29" s="7"/>
      <c r="R29" s="87" t="s">
        <v>81</v>
      </c>
      <c r="S29" s="87" t="s">
        <v>87</v>
      </c>
      <c r="T29" s="87"/>
      <c r="U29" s="91" cm="1">
        <f t="array" aca="1" ref="U29" ca="1">ROUND(IF($R29="Y",VLOOKUP($S29,INDIRECT($S$2),U$5,0)*INDIRECT($R$1),VLOOKUP($S29,INDIRECT($S$2),U$5,0)),3)</f>
        <v>0.72299999999999998</v>
      </c>
      <c r="V29" s="91"/>
      <c r="W29" s="91"/>
      <c r="X29" s="91"/>
      <c r="Y29" s="91"/>
      <c r="Z29" s="91"/>
      <c r="AA29" s="91"/>
      <c r="AB29" s="51" t="str">
        <f t="shared" ref="AB29:AB31" si="5">S29</f>
        <v>15th Year</v>
      </c>
      <c r="AC29" s="51"/>
      <c r="AD29" s="57">
        <f t="shared" ref="AD29:AD31" ca="1" si="6">U29</f>
        <v>0.72299999999999998</v>
      </c>
      <c r="AE29" s="51"/>
      <c r="AF29" s="51"/>
      <c r="AG29" s="51"/>
      <c r="AH29" s="51"/>
      <c r="AI29" s="51"/>
      <c r="AJ29" s="51"/>
      <c r="AK29" s="51"/>
    </row>
    <row r="30" spans="1:37" s="2" customFormat="1">
      <c r="A30" s="24">
        <f ca="1">U30</f>
        <v>0.88600000000000001</v>
      </c>
      <c r="B30" s="2" t="s">
        <v>32</v>
      </c>
      <c r="J30" s="4"/>
      <c r="K30" s="4"/>
      <c r="L30" s="4"/>
      <c r="P30" s="7"/>
      <c r="R30" s="87" t="s">
        <v>81</v>
      </c>
      <c r="S30" s="87" t="s">
        <v>88</v>
      </c>
      <c r="T30" s="87"/>
      <c r="U30" s="91" cm="1">
        <f t="array" aca="1" ref="U30" ca="1">ROUND(IF($R30="Y",VLOOKUP($S30,INDIRECT($S$2),U$5,0)*INDIRECT($R$1),VLOOKUP($S30,INDIRECT($S$2),U$5,0)),3)</f>
        <v>0.88600000000000001</v>
      </c>
      <c r="V30" s="91"/>
      <c r="W30" s="91"/>
      <c r="X30" s="91"/>
      <c r="Y30" s="91"/>
      <c r="Z30" s="91"/>
      <c r="AA30" s="91"/>
      <c r="AB30" s="51" t="str">
        <f t="shared" si="5"/>
        <v>20th Year</v>
      </c>
      <c r="AC30" s="51"/>
      <c r="AD30" s="57">
        <f t="shared" ca="1" si="6"/>
        <v>0.88600000000000001</v>
      </c>
      <c r="AE30" s="51"/>
      <c r="AF30" s="51"/>
      <c r="AG30" s="51"/>
      <c r="AH30" s="51"/>
      <c r="AI30" s="51"/>
      <c r="AJ30" s="51"/>
      <c r="AK30" s="51"/>
    </row>
    <row r="31" spans="1:37" s="2" customFormat="1">
      <c r="A31" s="24">
        <f ca="1">U31</f>
        <v>1.0489999999999999</v>
      </c>
      <c r="B31" s="2" t="s">
        <v>33</v>
      </c>
      <c r="J31" s="4"/>
      <c r="K31" s="4"/>
      <c r="L31" s="4"/>
      <c r="P31" s="7"/>
      <c r="R31" s="87" t="s">
        <v>81</v>
      </c>
      <c r="S31" s="87" t="s">
        <v>89</v>
      </c>
      <c r="T31" s="87"/>
      <c r="U31" s="91" cm="1">
        <f t="array" aca="1" ref="U31" ca="1">ROUND(IF($R31="Y",VLOOKUP($S31,INDIRECT($S$2),U$5,0)*INDIRECT($R$1),VLOOKUP($S31,INDIRECT($S$2),U$5,0)),3)</f>
        <v>1.0489999999999999</v>
      </c>
      <c r="V31" s="91"/>
      <c r="W31" s="91"/>
      <c r="X31" s="91"/>
      <c r="Y31" s="91"/>
      <c r="Z31" s="91"/>
      <c r="AA31" s="91"/>
      <c r="AB31" s="51" t="str">
        <f t="shared" si="5"/>
        <v>25th Year</v>
      </c>
      <c r="AC31" s="51"/>
      <c r="AD31" s="57">
        <f t="shared" ca="1" si="6"/>
        <v>1.0489999999999999</v>
      </c>
      <c r="AE31" s="51"/>
      <c r="AF31" s="51"/>
      <c r="AG31" s="51"/>
      <c r="AH31" s="51"/>
      <c r="AI31" s="51"/>
      <c r="AJ31" s="51"/>
      <c r="AK31" s="51"/>
    </row>
    <row r="32" spans="1:37" s="2" customFormat="1">
      <c r="A32" s="1"/>
      <c r="B32" s="1"/>
      <c r="C32" s="1"/>
      <c r="D32" s="7"/>
      <c r="E32" s="1"/>
      <c r="F32" s="1"/>
      <c r="G32" s="1"/>
      <c r="H32" s="1"/>
      <c r="I32" s="1"/>
      <c r="J32" s="1"/>
      <c r="K32" s="1"/>
      <c r="L32" s="1"/>
      <c r="M32" s="7"/>
      <c r="N32" s="7"/>
      <c r="O32" s="1"/>
      <c r="P32" s="1"/>
      <c r="R32" s="87"/>
      <c r="S32" s="87"/>
      <c r="T32" s="87"/>
      <c r="U32" s="91"/>
      <c r="V32" s="91"/>
      <c r="W32" s="91"/>
      <c r="X32" s="91"/>
      <c r="Y32" s="91"/>
      <c r="Z32" s="91"/>
      <c r="AA32" s="91"/>
      <c r="AB32" s="51"/>
      <c r="AC32" s="51"/>
      <c r="AD32" s="51"/>
      <c r="AE32" s="51"/>
      <c r="AF32" s="51"/>
      <c r="AG32" s="51"/>
      <c r="AH32" s="51"/>
      <c r="AI32" s="51"/>
      <c r="AJ32" s="51"/>
      <c r="AK32" s="51"/>
    </row>
    <row r="33" spans="1:37" s="26" customFormat="1">
      <c r="A33" s="25" t="s">
        <v>35</v>
      </c>
      <c r="E33" s="27"/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94"/>
      <c r="S33" s="94"/>
      <c r="T33" s="94"/>
      <c r="U33" s="117"/>
      <c r="V33" s="117"/>
      <c r="W33" s="117"/>
      <c r="X33" s="117"/>
      <c r="Y33" s="117"/>
      <c r="Z33" s="117"/>
      <c r="AA33" s="117"/>
      <c r="AB33" s="63"/>
      <c r="AC33" s="63"/>
      <c r="AD33" s="63"/>
      <c r="AE33" s="63"/>
      <c r="AF33" s="63"/>
      <c r="AG33" s="63"/>
      <c r="AH33" s="63"/>
      <c r="AI33" s="63"/>
      <c r="AJ33" s="63"/>
      <c r="AK33" s="63"/>
    </row>
    <row r="34" spans="1:37" s="2" customFormat="1">
      <c r="A34" s="37" t="s">
        <v>57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87"/>
      <c r="S34" s="87"/>
      <c r="T34" s="87"/>
      <c r="U34" s="91"/>
      <c r="V34" s="91"/>
      <c r="W34" s="91"/>
      <c r="X34" s="91"/>
      <c r="Y34" s="91"/>
      <c r="Z34" s="91"/>
      <c r="AA34" s="91"/>
      <c r="AB34" s="51"/>
      <c r="AC34" s="51"/>
      <c r="AD34" s="51"/>
      <c r="AE34" s="51"/>
      <c r="AF34" s="51"/>
      <c r="AG34" s="51"/>
      <c r="AH34" s="51"/>
      <c r="AI34" s="51"/>
      <c r="AJ34" s="51"/>
      <c r="AK34" s="51"/>
    </row>
    <row r="35" spans="1:37" s="2" customFormat="1">
      <c r="A35" s="2" t="str">
        <f ca="1">"Dispatcher's hourly top-step rate of pay. Coaching/Training Premium = "&amp;TEXT(U35,"$0.000")&amp;" per hour assigned and coaching/training."</f>
        <v>Dispatcher's hourly top-step rate of pay. Coaching/Training Premium = $10.005 per hour assigned and coaching/training.</v>
      </c>
      <c r="G35" s="4"/>
      <c r="J35" s="34"/>
      <c r="K35" s="3"/>
      <c r="M35" s="4"/>
      <c r="N35" s="4"/>
      <c r="O35" s="4"/>
      <c r="P35" s="1"/>
      <c r="R35" s="87" t="s">
        <v>81</v>
      </c>
      <c r="S35" s="87" t="s">
        <v>140</v>
      </c>
      <c r="T35" s="87" t="s">
        <v>35</v>
      </c>
      <c r="U35" s="91">
        <f ca="1">AA8*0.2</f>
        <v>10.005400000000002</v>
      </c>
      <c r="V35" s="87"/>
      <c r="W35" s="118" t="s">
        <v>96</v>
      </c>
      <c r="X35" s="91"/>
      <c r="Y35" s="91"/>
      <c r="Z35" s="91"/>
      <c r="AA35" s="91"/>
      <c r="AB35" s="51" t="str">
        <f t="shared" ref="AB35:AD35" si="7">S35</f>
        <v>COA</v>
      </c>
      <c r="AC35" s="51" t="str">
        <f t="shared" si="7"/>
        <v>Coaching/Training Premium</v>
      </c>
      <c r="AD35" s="57">
        <f t="shared" ca="1" si="7"/>
        <v>10.005400000000002</v>
      </c>
      <c r="AE35" s="51"/>
      <c r="AF35" s="51"/>
      <c r="AG35" s="51"/>
      <c r="AH35" s="51"/>
      <c r="AI35" s="51"/>
      <c r="AJ35" s="51"/>
      <c r="AK35" s="51"/>
    </row>
    <row r="36" spans="1:37" s="2" customFormat="1">
      <c r="A36" s="3"/>
      <c r="E36" s="4"/>
      <c r="F36" s="4"/>
      <c r="G36" s="4"/>
      <c r="H36" s="4"/>
      <c r="J36" s="32"/>
      <c r="K36" s="3"/>
      <c r="L36" s="4"/>
      <c r="M36" s="4"/>
      <c r="N36" s="4"/>
      <c r="O36" s="4"/>
      <c r="P36" s="1"/>
      <c r="R36" s="87"/>
      <c r="S36" s="87"/>
      <c r="T36" s="87"/>
      <c r="U36" s="91"/>
      <c r="V36" s="91"/>
      <c r="W36" s="91"/>
      <c r="X36" s="91"/>
      <c r="Y36" s="91"/>
      <c r="Z36" s="91"/>
      <c r="AA36" s="91"/>
      <c r="AB36" s="51"/>
      <c r="AC36" s="51"/>
      <c r="AD36" s="51"/>
      <c r="AE36" s="51"/>
      <c r="AF36" s="51"/>
      <c r="AG36" s="51"/>
      <c r="AH36" s="51"/>
      <c r="AI36" s="51"/>
      <c r="AJ36" s="51"/>
      <c r="AK36" s="51"/>
    </row>
    <row r="37" spans="1:37" s="2" customFormat="1">
      <c r="A37" s="25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87"/>
      <c r="S37" s="87"/>
      <c r="T37" s="87"/>
      <c r="U37" s="91"/>
      <c r="V37" s="91"/>
      <c r="W37" s="91"/>
      <c r="X37" s="91"/>
      <c r="Y37" s="91"/>
      <c r="Z37" s="91"/>
      <c r="AA37" s="91"/>
      <c r="AB37" s="51"/>
      <c r="AC37" s="51"/>
      <c r="AD37" s="51"/>
      <c r="AE37" s="51"/>
      <c r="AF37" s="51"/>
      <c r="AG37" s="51"/>
      <c r="AH37" s="51"/>
      <c r="AI37" s="51"/>
      <c r="AJ37" s="51"/>
      <c r="AK37" s="51"/>
    </row>
    <row r="38" spans="1:37" s="2" customFormat="1">
      <c r="A38" s="40" t="s">
        <v>62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87"/>
      <c r="S38" s="87"/>
      <c r="T38" s="87"/>
      <c r="U38" s="91"/>
      <c r="V38" s="91"/>
      <c r="W38" s="91"/>
      <c r="X38" s="91"/>
      <c r="Y38" s="91"/>
      <c r="Z38" s="91"/>
      <c r="AA38" s="91"/>
      <c r="AB38" s="51"/>
      <c r="AC38" s="51"/>
      <c r="AD38" s="51"/>
      <c r="AE38" s="51"/>
      <c r="AF38" s="51"/>
      <c r="AG38" s="51"/>
      <c r="AH38" s="51"/>
      <c r="AI38" s="51"/>
      <c r="AJ38" s="51"/>
      <c r="AK38" s="51"/>
    </row>
    <row r="39" spans="1:37" s="2" customFormat="1">
      <c r="A39" s="2" t="s">
        <v>63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87"/>
      <c r="S39" s="87"/>
      <c r="T39" s="87"/>
      <c r="U39" s="91"/>
      <c r="V39" s="91"/>
      <c r="W39" s="91"/>
      <c r="X39" s="91"/>
      <c r="Y39" s="91"/>
      <c r="Z39" s="91"/>
      <c r="AA39" s="91"/>
      <c r="AB39" s="51"/>
      <c r="AC39" s="51"/>
      <c r="AD39" s="51"/>
      <c r="AE39" s="51"/>
      <c r="AF39" s="51"/>
      <c r="AG39" s="51"/>
      <c r="AH39" s="51"/>
      <c r="AI39" s="51"/>
      <c r="AJ39" s="51"/>
      <c r="AK39" s="51"/>
    </row>
    <row r="40" spans="1:37" s="2" customFormat="1">
      <c r="I40" s="73" t="s">
        <v>60</v>
      </c>
      <c r="J40" s="12" t="s">
        <v>71</v>
      </c>
      <c r="K40" s="12" t="s">
        <v>72</v>
      </c>
      <c r="L40" s="12" t="s">
        <v>73</v>
      </c>
      <c r="M40" s="12" t="s">
        <v>74</v>
      </c>
      <c r="N40" s="12" t="s">
        <v>75</v>
      </c>
      <c r="O40" s="12" t="s">
        <v>76</v>
      </c>
      <c r="P40" s="12" t="s">
        <v>77</v>
      </c>
      <c r="R40" s="87"/>
      <c r="S40" s="119"/>
      <c r="T40" s="119"/>
      <c r="U40" s="119"/>
      <c r="V40" s="115"/>
      <c r="W40" s="120" t="s">
        <v>98</v>
      </c>
      <c r="X40" s="119"/>
      <c r="Y40" s="119"/>
      <c r="Z40" s="87"/>
      <c r="AA40" s="87"/>
      <c r="AB40" s="51"/>
      <c r="AC40" s="51"/>
      <c r="AD40" s="51"/>
      <c r="AE40" s="51"/>
      <c r="AF40" s="51"/>
      <c r="AG40" s="51"/>
      <c r="AH40" s="51"/>
      <c r="AI40" s="51"/>
      <c r="AJ40" s="51"/>
      <c r="AK40" s="51"/>
    </row>
    <row r="41" spans="1:37">
      <c r="I41" s="74" t="s">
        <v>61</v>
      </c>
      <c r="J41" s="14">
        <f t="shared" ref="J41:P41" ca="1" si="8">ROUND(HLOOKUP(J40,$I$6:$O$8,2)*1.5,3)</f>
        <v>52.652999999999999</v>
      </c>
      <c r="K41" s="14">
        <f t="shared" ca="1" si="8"/>
        <v>55.433</v>
      </c>
      <c r="L41" s="14">
        <f t="shared" ca="1" si="8"/>
        <v>58.353000000000002</v>
      </c>
      <c r="M41" s="14">
        <f t="shared" ca="1" si="8"/>
        <v>61.415999999999997</v>
      </c>
      <c r="N41" s="14">
        <f t="shared" ca="1" si="8"/>
        <v>64.650000000000006</v>
      </c>
      <c r="O41" s="14">
        <f t="shared" ca="1" si="8"/>
        <v>68.049000000000007</v>
      </c>
      <c r="P41" s="14">
        <f t="shared" ca="1" si="8"/>
        <v>71.623999999999995</v>
      </c>
      <c r="S41" s="121"/>
      <c r="T41" s="121"/>
      <c r="U41" s="121"/>
      <c r="V41" s="121"/>
      <c r="W41" s="121"/>
      <c r="X41" s="121"/>
      <c r="Y41" s="121"/>
    </row>
  </sheetData>
  <sheetProtection sheet="1" objects="1" scenarios="1"/>
  <mergeCells count="1">
    <mergeCell ref="A1:O1"/>
  </mergeCells>
  <pageMargins left="0.25" right="0.25" top="0.5" bottom="0.25" header="0.5" footer="0.5"/>
  <pageSetup scale="49" orientation="landscape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16EA-67F4-4B1C-85C8-B1FDFBFEB50B}">
  <dimension ref="A1:C13"/>
  <sheetViews>
    <sheetView workbookViewId="0">
      <selection activeCell="C18" sqref="C18"/>
    </sheetView>
  </sheetViews>
  <sheetFormatPr defaultRowHeight="12.75"/>
  <cols>
    <col min="2" max="2" width="11.86328125" bestFit="1" customWidth="1"/>
    <col min="3" max="3" width="140.265625" bestFit="1" customWidth="1"/>
  </cols>
  <sheetData>
    <row r="1" spans="1:3">
      <c r="A1" t="s">
        <v>107</v>
      </c>
      <c r="B1" t="s">
        <v>108</v>
      </c>
      <c r="C1" t="s">
        <v>102</v>
      </c>
    </row>
    <row r="2" spans="1:3">
      <c r="A2" t="s">
        <v>107</v>
      </c>
      <c r="B2" t="s">
        <v>108</v>
      </c>
      <c r="C2" t="s">
        <v>103</v>
      </c>
    </row>
    <row r="3" spans="1:3">
      <c r="A3" t="s">
        <v>107</v>
      </c>
      <c r="B3" t="s">
        <v>108</v>
      </c>
      <c r="C3" t="s">
        <v>104</v>
      </c>
    </row>
    <row r="4" spans="1:3">
      <c r="A4" t="s">
        <v>107</v>
      </c>
      <c r="B4" t="s">
        <v>108</v>
      </c>
      <c r="C4" t="s">
        <v>105</v>
      </c>
    </row>
    <row r="5" spans="1:3">
      <c r="A5" t="s">
        <v>107</v>
      </c>
      <c r="B5" t="s">
        <v>108</v>
      </c>
      <c r="C5" t="s">
        <v>106</v>
      </c>
    </row>
    <row r="7" spans="1:3">
      <c r="A7" s="44">
        <v>43804</v>
      </c>
      <c r="B7" t="s">
        <v>65</v>
      </c>
      <c r="C7" t="s">
        <v>70</v>
      </c>
    </row>
    <row r="8" spans="1:3">
      <c r="A8" s="44">
        <v>44173</v>
      </c>
      <c r="B8" t="s">
        <v>65</v>
      </c>
      <c r="C8" t="s">
        <v>94</v>
      </c>
    </row>
    <row r="9" spans="1:3">
      <c r="A9" s="44">
        <v>44298</v>
      </c>
      <c r="B9" t="s">
        <v>65</v>
      </c>
      <c r="C9" t="s">
        <v>109</v>
      </c>
    </row>
    <row r="10" spans="1:3">
      <c r="C10" s="77" t="s">
        <v>111</v>
      </c>
    </row>
    <row r="11" spans="1:3">
      <c r="C11" s="77" t="s">
        <v>110</v>
      </c>
    </row>
    <row r="12" spans="1:3">
      <c r="A12" s="44">
        <v>44386</v>
      </c>
      <c r="B12" t="s">
        <v>65</v>
      </c>
      <c r="C12" t="s">
        <v>114</v>
      </c>
    </row>
    <row r="13" spans="1:3">
      <c r="A13" s="44">
        <v>45135</v>
      </c>
      <c r="B13" t="s">
        <v>155</v>
      </c>
      <c r="C13" t="s">
        <v>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workbookViewId="0">
      <selection activeCell="C37" sqref="C37"/>
    </sheetView>
  </sheetViews>
  <sheetFormatPr defaultColWidth="9.1328125" defaultRowHeight="15.75"/>
  <cols>
    <col min="1" max="1" width="7.265625" style="29" customWidth="1"/>
    <col min="2" max="2" width="7.265625" style="29" bestFit="1" customWidth="1"/>
    <col min="3" max="3" width="5.86328125" style="29" customWidth="1"/>
    <col min="4" max="4" width="18.59765625" style="29" bestFit="1" customWidth="1"/>
    <col min="5" max="5" width="4.3984375" style="29" bestFit="1" customWidth="1"/>
    <col min="6" max="6" width="2.265625" style="29" bestFit="1" customWidth="1"/>
    <col min="7" max="7" width="11.265625" style="29" customWidth="1"/>
    <col min="8" max="14" width="9.265625" style="29" bestFit="1" customWidth="1"/>
    <col min="15" max="16384" width="9.1328125" style="29"/>
  </cols>
  <sheetData>
    <row r="1" spans="1:21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"/>
    </row>
    <row r="2" spans="1:21" s="2" customFormat="1" ht="8.25" customHeight="1">
      <c r="C2" s="3"/>
      <c r="D2" s="4"/>
      <c r="F2" s="4"/>
      <c r="G2" s="4"/>
      <c r="H2" s="5"/>
      <c r="I2" s="4" t="s">
        <v>1</v>
      </c>
      <c r="J2" s="4"/>
      <c r="K2" s="4"/>
      <c r="L2" s="4" t="s">
        <v>1</v>
      </c>
      <c r="M2" s="4"/>
      <c r="N2" s="4"/>
      <c r="O2" s="1"/>
    </row>
    <row r="3" spans="1:21" s="2" customFormat="1">
      <c r="A3" s="6" t="s">
        <v>37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"/>
    </row>
    <row r="4" spans="1:21" s="2" customFormat="1">
      <c r="A4" s="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21" s="2" customFormat="1">
      <c r="A5" s="8"/>
      <c r="B5" s="3"/>
      <c r="C5" s="4"/>
      <c r="D5" s="8"/>
      <c r="E5" s="8"/>
      <c r="F5" s="9"/>
      <c r="G5" s="9"/>
      <c r="H5" s="10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4">
        <v>14</v>
      </c>
      <c r="O5" s="7"/>
    </row>
    <row r="6" spans="1:21" s="2" customFormat="1">
      <c r="A6" s="8" t="s">
        <v>3</v>
      </c>
      <c r="B6" s="8"/>
      <c r="C6" s="4"/>
      <c r="D6" s="8"/>
      <c r="E6" s="9"/>
      <c r="F6" s="9"/>
      <c r="G6" s="9"/>
      <c r="H6" s="10" t="s">
        <v>4</v>
      </c>
      <c r="I6" s="9" t="s">
        <v>5</v>
      </c>
      <c r="J6" s="9" t="s">
        <v>6</v>
      </c>
      <c r="K6" s="9" t="s">
        <v>7</v>
      </c>
      <c r="L6" s="9" t="s">
        <v>8</v>
      </c>
      <c r="M6" s="9" t="s">
        <v>9</v>
      </c>
      <c r="N6" s="9" t="s">
        <v>10</v>
      </c>
      <c r="O6" s="7"/>
    </row>
    <row r="7" spans="1:21" s="2" customFormat="1">
      <c r="A7" s="11" t="s">
        <v>11</v>
      </c>
      <c r="B7" s="12" t="s">
        <v>12</v>
      </c>
      <c r="C7" s="12" t="s">
        <v>13</v>
      </c>
      <c r="D7" s="11" t="s">
        <v>14</v>
      </c>
      <c r="E7" s="12" t="s">
        <v>15</v>
      </c>
      <c r="F7" s="12" t="s">
        <v>16</v>
      </c>
      <c r="G7" s="12" t="s">
        <v>17</v>
      </c>
      <c r="H7" s="13" t="s">
        <v>18</v>
      </c>
      <c r="I7" s="13" t="s">
        <v>18</v>
      </c>
      <c r="J7" s="13" t="s">
        <v>18</v>
      </c>
      <c r="K7" s="13" t="s">
        <v>18</v>
      </c>
      <c r="L7" s="13" t="s">
        <v>18</v>
      </c>
      <c r="M7" s="13" t="s">
        <v>18</v>
      </c>
      <c r="N7" s="13" t="s">
        <v>18</v>
      </c>
      <c r="O7" s="7"/>
    </row>
    <row r="8" spans="1:21" s="2" customFormat="1">
      <c r="A8" s="3" t="s">
        <v>21</v>
      </c>
      <c r="B8" s="4" t="s">
        <v>19</v>
      </c>
      <c r="C8" s="4">
        <v>2</v>
      </c>
      <c r="D8" s="7" t="s">
        <v>22</v>
      </c>
      <c r="E8" s="4">
        <v>336</v>
      </c>
      <c r="F8" s="4">
        <v>7</v>
      </c>
      <c r="G8" s="4" t="s">
        <v>20</v>
      </c>
      <c r="H8" s="14">
        <f>'1 1 2017'!H8*1.02</f>
        <v>23.523292430183741</v>
      </c>
      <c r="I8" s="14">
        <f>'1 1 2017'!I8*1.02</f>
        <v>24.750799912742249</v>
      </c>
      <c r="J8" s="14">
        <f>'1 1 2017'!J8*1.02</f>
        <v>26.049125134679137</v>
      </c>
      <c r="K8" s="14">
        <f>'1 1 2017'!K8*1.02</f>
        <v>27.418268095994392</v>
      </c>
      <c r="L8" s="14">
        <f>'1 1 2017'!L8*1.02</f>
        <v>28.870031753251087</v>
      </c>
      <c r="M8" s="14">
        <f>'1 1 2017'!M8*1.02</f>
        <v>30.39261314988617</v>
      </c>
      <c r="N8" s="14">
        <f>'1 1 2017'!N8*1.02</f>
        <v>31.986012285899619</v>
      </c>
      <c r="O8" s="7"/>
    </row>
    <row r="9" spans="1:21" s="2" customFormat="1" hidden="1">
      <c r="A9" s="1" t="s">
        <v>113</v>
      </c>
      <c r="B9" s="1" t="s">
        <v>19</v>
      </c>
      <c r="C9" s="1">
        <v>2</v>
      </c>
      <c r="D9" s="7" t="s">
        <v>112</v>
      </c>
      <c r="E9" s="1">
        <v>288</v>
      </c>
      <c r="F9" s="1">
        <v>6</v>
      </c>
      <c r="G9" s="1" t="s">
        <v>20</v>
      </c>
      <c r="H9" s="14">
        <f>VLOOKUP($A9,'1 1 2017'!$A$8:$N$9,H5,0)*1.02</f>
        <v>21.918090337607232</v>
      </c>
      <c r="I9" s="14">
        <f>VLOOKUP($A9,'1 1 2017'!$A$8:$N$9,I5,0)*1.02</f>
        <v>23.074780080787367</v>
      </c>
      <c r="J9" s="14">
        <f>VLOOKUP($A9,'1 1 2017'!$A$8:$N$9,J5,0)*1.02</f>
        <v>24.290484606782808</v>
      </c>
      <c r="K9" s="14">
        <f>VLOOKUP($A9,'1 1 2017'!$A$8:$N$9,K5,0)*1.02</f>
        <v>25.565203915593568</v>
      </c>
      <c r="L9" s="14">
        <f>VLOOKUP($A9,'1 1 2017'!$A$8:$N$9,L5,0)*1.02</f>
        <v>26.910740963782704</v>
      </c>
      <c r="M9" s="14">
        <f>VLOOKUP($A9,'1 1 2017'!$A$8:$N$9,M5,0)*1.02</f>
        <v>28.327095751350207</v>
      </c>
      <c r="N9" s="14">
        <f>VLOOKUP($A9,'1 1 2017'!$A$8:$N$9,N5,0)*1.02</f>
        <v>29.814268278296101</v>
      </c>
      <c r="O9" s="7"/>
    </row>
    <row r="10" spans="1:21" s="16" customFormat="1" ht="16.149999999999999" thickBot="1">
      <c r="A10" s="15"/>
      <c r="B10" s="15"/>
      <c r="C10" s="15"/>
      <c r="E10" s="15"/>
      <c r="F10" s="15"/>
      <c r="G10" s="15"/>
      <c r="H10" s="15"/>
      <c r="I10" s="15"/>
      <c r="J10" s="15"/>
      <c r="K10" s="15"/>
    </row>
    <row r="11" spans="1:21" s="2" customFormat="1">
      <c r="A11" s="33" t="s">
        <v>56</v>
      </c>
      <c r="B11" s="4"/>
      <c r="C11" s="4"/>
      <c r="E11" s="4"/>
      <c r="F11" s="4"/>
      <c r="G11" s="4"/>
      <c r="H11" s="4"/>
      <c r="I11" s="4"/>
      <c r="J11" s="4"/>
      <c r="K11" s="4"/>
      <c r="O11" s="7"/>
    </row>
    <row r="12" spans="1:21" s="2" customFormat="1">
      <c r="A12" s="2" t="s">
        <v>50</v>
      </c>
      <c r="B12" s="4"/>
      <c r="C12" s="4"/>
      <c r="E12" s="4"/>
      <c r="F12" s="4"/>
      <c r="H12" s="36">
        <f>ROUND('1 1 2017'!H12*1.02,3)</f>
        <v>0.47099999999999997</v>
      </c>
      <c r="I12" s="3" t="s">
        <v>51</v>
      </c>
      <c r="J12" s="3"/>
      <c r="K12" s="3"/>
      <c r="L12" s="3"/>
      <c r="M12" s="3"/>
      <c r="O12" s="7"/>
      <c r="U12" s="18"/>
    </row>
    <row r="13" spans="1:21" s="2" customFormat="1">
      <c r="A13" s="2" t="s">
        <v>53</v>
      </c>
      <c r="O13" s="7"/>
    </row>
    <row r="14" spans="1:21" s="2" customFormat="1" ht="8.25" customHeight="1">
      <c r="O14" s="7"/>
    </row>
    <row r="15" spans="1:21" s="2" customFormat="1">
      <c r="A15" s="2" t="s">
        <v>50</v>
      </c>
      <c r="H15" s="36">
        <f>ROUND('1 1 2017'!H15*1.02,3)</f>
        <v>1.119</v>
      </c>
      <c r="I15" s="2" t="s">
        <v>23</v>
      </c>
      <c r="O15" s="7"/>
    </row>
    <row r="16" spans="1:21" s="2" customFormat="1">
      <c r="A16" s="2" t="s">
        <v>52</v>
      </c>
      <c r="B16" s="4"/>
      <c r="C16" s="4"/>
      <c r="E16" s="4"/>
      <c r="F16" s="4"/>
      <c r="G16" s="4"/>
      <c r="H16" s="4"/>
      <c r="I16" s="4"/>
      <c r="J16" s="4"/>
      <c r="K16" s="4"/>
      <c r="O16" s="7"/>
    </row>
    <row r="17" spans="1:15" s="2" customFormat="1" ht="8.25" customHeight="1">
      <c r="B17" s="4"/>
      <c r="C17" s="4"/>
      <c r="E17" s="4"/>
      <c r="F17" s="4"/>
      <c r="G17" s="4"/>
      <c r="H17" s="4"/>
      <c r="I17" s="4"/>
      <c r="J17" s="4"/>
      <c r="K17" s="4"/>
      <c r="O17" s="7"/>
    </row>
    <row r="18" spans="1:15" s="2" customFormat="1">
      <c r="A18" s="2" t="s">
        <v>24</v>
      </c>
      <c r="O18" s="7"/>
    </row>
    <row r="19" spans="1:15" s="2" customFormat="1">
      <c r="A19" s="2" t="s">
        <v>25</v>
      </c>
      <c r="O19" s="7"/>
    </row>
    <row r="20" spans="1:15" s="2" customFormat="1">
      <c r="A20" s="2" t="s">
        <v>26</v>
      </c>
      <c r="O20" s="7"/>
    </row>
    <row r="21" spans="1:15" s="2" customFormat="1">
      <c r="A21" s="7" t="s">
        <v>27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s="2" customFormat="1" ht="6.75" customHeight="1">
      <c r="A22" s="7"/>
      <c r="B22" s="1"/>
      <c r="C22" s="1"/>
      <c r="D22" s="7"/>
      <c r="E22" s="1"/>
      <c r="F22" s="1"/>
      <c r="G22" s="1"/>
      <c r="H22" s="1"/>
      <c r="I22" s="1"/>
      <c r="J22" s="1"/>
      <c r="K22" s="1"/>
      <c r="L22" s="7"/>
      <c r="M22" s="7"/>
      <c r="N22" s="7"/>
      <c r="O22" s="7"/>
    </row>
    <row r="23" spans="1:15" s="2" customFormat="1">
      <c r="A23" s="7" t="s">
        <v>59</v>
      </c>
      <c r="B23" s="1"/>
      <c r="C23" s="1"/>
      <c r="D23" s="7"/>
      <c r="E23" s="1"/>
      <c r="F23" s="1"/>
      <c r="G23" s="1"/>
      <c r="H23" s="1"/>
      <c r="I23" s="1"/>
      <c r="J23" s="1"/>
      <c r="K23" s="1"/>
      <c r="L23" s="7"/>
      <c r="M23" s="7"/>
      <c r="N23" s="7"/>
      <c r="O23" s="7"/>
    </row>
    <row r="24" spans="1:15" s="2" customFormat="1" ht="6" customHeight="1">
      <c r="B24" s="1"/>
      <c r="C24" s="1"/>
      <c r="D24" s="7"/>
      <c r="E24" s="1"/>
      <c r="F24" s="1"/>
      <c r="G24" s="1"/>
      <c r="H24" s="1"/>
      <c r="I24" s="1"/>
      <c r="J24" s="1"/>
      <c r="K24" s="1"/>
      <c r="L24" s="7"/>
      <c r="M24" s="7"/>
      <c r="N24" s="7"/>
      <c r="O24" s="7"/>
    </row>
    <row r="25" spans="1:15" s="2" customFormat="1">
      <c r="A25" s="7" t="s">
        <v>54</v>
      </c>
      <c r="B25" s="1"/>
      <c r="C25" s="1"/>
      <c r="D25" s="7"/>
      <c r="E25" s="1"/>
      <c r="F25" s="1"/>
      <c r="G25" s="1"/>
      <c r="H25" s="1"/>
      <c r="I25" s="1"/>
      <c r="J25" s="1"/>
      <c r="K25" s="1"/>
      <c r="L25" s="7"/>
      <c r="M25" s="7"/>
      <c r="N25" s="7"/>
      <c r="O25" s="7"/>
    </row>
    <row r="26" spans="1:15" s="2" customFormat="1">
      <c r="A26" s="7"/>
      <c r="B26" s="1"/>
      <c r="C26" s="1"/>
      <c r="D26" s="7"/>
      <c r="E26" s="1"/>
      <c r="F26" s="1"/>
      <c r="G26" s="1"/>
      <c r="H26" s="1"/>
      <c r="I26" s="1"/>
      <c r="J26" s="1"/>
      <c r="K26" s="1"/>
      <c r="L26" s="7"/>
      <c r="M26" s="7"/>
      <c r="N26" s="7"/>
      <c r="O26" s="7"/>
    </row>
    <row r="27" spans="1:15" s="2" customFormat="1">
      <c r="A27" s="19" t="s">
        <v>34</v>
      </c>
      <c r="B27" s="20"/>
      <c r="C27" s="20"/>
      <c r="D27" s="21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7"/>
    </row>
    <row r="28" spans="1:15" s="2" customFormat="1">
      <c r="A28" s="7" t="s">
        <v>40</v>
      </c>
      <c r="B28" s="1"/>
      <c r="C28" s="1"/>
      <c r="D28" s="7"/>
      <c r="E28" s="1"/>
      <c r="F28" s="1"/>
      <c r="G28" s="1"/>
      <c r="H28" s="1"/>
      <c r="I28" s="1"/>
      <c r="J28" s="1"/>
      <c r="K28" s="1"/>
      <c r="L28" s="7"/>
      <c r="M28" s="7"/>
      <c r="N28" s="7"/>
      <c r="O28" s="7"/>
    </row>
    <row r="29" spans="1:15" s="2" customFormat="1">
      <c r="A29" s="7" t="s">
        <v>41</v>
      </c>
      <c r="B29" s="1"/>
      <c r="C29" s="1"/>
      <c r="D29" s="7"/>
      <c r="E29" s="1"/>
      <c r="F29" s="1"/>
      <c r="G29" s="1"/>
      <c r="H29" s="1"/>
      <c r="I29" s="1"/>
      <c r="J29" s="1"/>
      <c r="K29" s="1"/>
      <c r="L29" s="7"/>
      <c r="M29" s="7"/>
      <c r="N29" s="7"/>
      <c r="O29" s="7"/>
    </row>
    <row r="30" spans="1:15" s="2" customFormat="1">
      <c r="A30" s="22"/>
      <c r="B30" s="23"/>
      <c r="C30" s="23"/>
      <c r="D30" s="22"/>
      <c r="E30" s="23"/>
      <c r="F30" s="23"/>
      <c r="G30" s="23"/>
      <c r="H30" s="23"/>
      <c r="I30" s="23"/>
      <c r="J30" s="23"/>
      <c r="K30" s="23"/>
      <c r="L30" s="22"/>
      <c r="M30" s="22"/>
      <c r="N30" s="22"/>
      <c r="O30" s="7"/>
    </row>
    <row r="31" spans="1:15" s="2" customFormat="1">
      <c r="A31" s="6" t="s">
        <v>28</v>
      </c>
      <c r="I31" s="4"/>
      <c r="J31" s="4"/>
      <c r="K31" s="4"/>
      <c r="O31" s="7"/>
    </row>
    <row r="32" spans="1:15" s="2" customFormat="1">
      <c r="A32" s="2" t="s">
        <v>29</v>
      </c>
      <c r="I32" s="4"/>
      <c r="J32" s="4"/>
      <c r="K32" s="4"/>
      <c r="O32" s="7"/>
    </row>
    <row r="33" spans="1:15" s="2" customFormat="1">
      <c r="B33" s="24">
        <f>'1 1 2017'!B33*1.02</f>
        <v>0.3913390012417125</v>
      </c>
      <c r="C33" s="2" t="s">
        <v>30</v>
      </c>
      <c r="I33" s="4"/>
      <c r="J33" s="4"/>
      <c r="K33" s="4"/>
      <c r="O33" s="7"/>
    </row>
    <row r="34" spans="1:15" s="2" customFormat="1">
      <c r="B34" s="24">
        <f>'1 1 2017'!B34*1.02</f>
        <v>0.50478533498894995</v>
      </c>
      <c r="C34" s="2" t="s">
        <v>31</v>
      </c>
      <c r="I34" s="4"/>
      <c r="J34" s="4"/>
      <c r="K34" s="4"/>
      <c r="O34" s="7"/>
    </row>
    <row r="35" spans="1:15" s="2" customFormat="1">
      <c r="B35" s="24">
        <f>'1 1 2017'!B35*1.02</f>
        <v>0.61823166873618751</v>
      </c>
      <c r="C35" s="2" t="s">
        <v>32</v>
      </c>
      <c r="I35" s="4"/>
      <c r="J35" s="4"/>
      <c r="K35" s="4"/>
      <c r="O35" s="7"/>
    </row>
    <row r="36" spans="1:15" s="2" customFormat="1">
      <c r="B36" s="24">
        <f>'1 1 2017'!B36*1.02</f>
        <v>0.73167800248342496</v>
      </c>
      <c r="C36" s="2" t="s">
        <v>33</v>
      </c>
      <c r="I36" s="4"/>
      <c r="J36" s="4"/>
      <c r="K36" s="4"/>
      <c r="O36" s="7"/>
    </row>
    <row r="37" spans="1:15" s="2" customFormat="1">
      <c r="A37" s="23"/>
      <c r="B37" s="23"/>
      <c r="C37" s="23"/>
      <c r="D37" s="22"/>
      <c r="E37" s="23"/>
      <c r="F37" s="23"/>
      <c r="G37" s="23"/>
      <c r="H37" s="23"/>
      <c r="I37" s="23"/>
      <c r="J37" s="23"/>
      <c r="K37" s="23"/>
      <c r="L37" s="22"/>
      <c r="M37" s="22"/>
      <c r="N37" s="23"/>
      <c r="O37" s="1"/>
    </row>
    <row r="38" spans="1:15" s="26" customFormat="1">
      <c r="A38" s="25" t="s">
        <v>35</v>
      </c>
      <c r="E38" s="27"/>
      <c r="F38" s="27"/>
      <c r="G38" s="32"/>
      <c r="H38" s="27"/>
      <c r="I38" s="27"/>
      <c r="J38" s="27"/>
      <c r="K38" s="27"/>
      <c r="L38" s="27"/>
      <c r="M38" s="27"/>
      <c r="N38" s="27"/>
      <c r="O38" s="28"/>
    </row>
    <row r="39" spans="1:15" s="26" customFormat="1">
      <c r="A39" s="38" t="s">
        <v>43</v>
      </c>
      <c r="B39" s="2"/>
      <c r="C39" s="2"/>
      <c r="D39" s="2"/>
      <c r="E39" s="4"/>
      <c r="F39" s="4"/>
      <c r="G39" s="4"/>
      <c r="H39" s="27"/>
      <c r="I39" s="27"/>
      <c r="J39" s="27"/>
      <c r="K39" s="27"/>
      <c r="L39" s="27"/>
      <c r="M39" s="27"/>
      <c r="N39" s="31"/>
      <c r="O39" s="28"/>
    </row>
    <row r="40" spans="1:15" s="2" customFormat="1">
      <c r="A40" s="38" t="s">
        <v>44</v>
      </c>
      <c r="E40" s="4"/>
      <c r="F40" s="4"/>
      <c r="G40" s="34"/>
      <c r="K40" s="4"/>
      <c r="L40" s="4"/>
      <c r="M40" s="4"/>
      <c r="N40" s="4"/>
      <c r="O40" s="1"/>
    </row>
    <row r="41" spans="1:15" s="2" customFormat="1">
      <c r="A41" s="38" t="s">
        <v>45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1"/>
    </row>
    <row r="42" spans="1:15">
      <c r="A42" s="38" t="s">
        <v>46</v>
      </c>
      <c r="O42" s="30"/>
    </row>
    <row r="43" spans="1:15">
      <c r="A43" s="38" t="s">
        <v>47</v>
      </c>
    </row>
    <row r="44" spans="1:15">
      <c r="A44" s="38" t="s">
        <v>48</v>
      </c>
    </row>
    <row r="45" spans="1:15">
      <c r="A45" s="38" t="s">
        <v>49</v>
      </c>
    </row>
    <row r="47" spans="1:15">
      <c r="A47" s="25" t="s">
        <v>64</v>
      </c>
      <c r="B47" s="2"/>
      <c r="C47" s="2"/>
      <c r="D47" s="2"/>
      <c r="E47" s="4"/>
      <c r="F47" s="4"/>
      <c r="G47" s="4"/>
      <c r="H47" s="4"/>
      <c r="I47" s="4"/>
      <c r="J47" s="4"/>
      <c r="K47" s="4"/>
      <c r="L47" s="4"/>
      <c r="M47" s="4"/>
      <c r="N47" s="4"/>
      <c r="O47" s="1"/>
    </row>
    <row r="48" spans="1:15">
      <c r="A48" s="40" t="s">
        <v>62</v>
      </c>
      <c r="B48" s="2"/>
      <c r="C48" s="2"/>
      <c r="D48" s="2"/>
      <c r="E48" s="4"/>
      <c r="F48" s="4"/>
      <c r="G48" s="4"/>
      <c r="H48" s="4"/>
      <c r="I48" s="4"/>
      <c r="J48" s="4"/>
      <c r="K48" s="4"/>
      <c r="L48" s="4"/>
      <c r="M48" s="4"/>
      <c r="N48" s="4"/>
      <c r="O48" s="1"/>
    </row>
    <row r="49" spans="1:15">
      <c r="A49" s="2" t="s">
        <v>63</v>
      </c>
      <c r="B49" s="2"/>
      <c r="C49" s="2"/>
      <c r="D49" s="2"/>
      <c r="E49" s="4"/>
      <c r="F49" s="4"/>
      <c r="G49" s="4"/>
      <c r="H49" s="4"/>
      <c r="I49" s="4"/>
      <c r="J49" s="4"/>
      <c r="K49" s="4"/>
      <c r="L49" s="4"/>
      <c r="M49" s="4"/>
      <c r="N49" s="4"/>
      <c r="O49" s="1"/>
    </row>
    <row r="50" spans="1:15">
      <c r="A50" s="2"/>
      <c r="B50" s="2"/>
      <c r="C50" s="2"/>
      <c r="D50" s="2"/>
      <c r="E50" s="39" t="s">
        <v>60</v>
      </c>
      <c r="F50" s="9"/>
      <c r="G50" s="2"/>
      <c r="H50" s="9"/>
      <c r="I50" s="9">
        <v>1</v>
      </c>
      <c r="J50" s="9">
        <v>2</v>
      </c>
      <c r="K50" s="9">
        <v>3</v>
      </c>
      <c r="L50" s="9">
        <v>4</v>
      </c>
      <c r="M50" s="9">
        <v>5</v>
      </c>
      <c r="N50" s="9">
        <v>6</v>
      </c>
      <c r="O50" s="42">
        <v>7</v>
      </c>
    </row>
    <row r="51" spans="1:15">
      <c r="G51" s="43" t="s">
        <v>61</v>
      </c>
      <c r="I51" s="41">
        <f>H8*1.5</f>
        <v>35.284938645275609</v>
      </c>
      <c r="J51" s="41">
        <f t="shared" ref="J51:O51" si="0">I8*1.5</f>
        <v>37.126199869113371</v>
      </c>
      <c r="K51" s="41">
        <f t="shared" si="0"/>
        <v>39.073687702018702</v>
      </c>
      <c r="L51" s="41">
        <f t="shared" si="0"/>
        <v>41.127402143991588</v>
      </c>
      <c r="M51" s="41">
        <f t="shared" si="0"/>
        <v>43.305047629876633</v>
      </c>
      <c r="N51" s="41">
        <f t="shared" si="0"/>
        <v>45.588919724829253</v>
      </c>
      <c r="O51" s="41">
        <f t="shared" si="0"/>
        <v>47.979018428849429</v>
      </c>
    </row>
  </sheetData>
  <mergeCells count="1">
    <mergeCell ref="A1:N1"/>
  </mergeCells>
  <pageMargins left="0.25" right="0.25" top="0.5" bottom="0.25" header="0.5" footer="0.5"/>
  <pageSetup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6"/>
  <sheetViews>
    <sheetView topLeftCell="A6" workbookViewId="0">
      <selection activeCell="A9" sqref="A9:XFD9"/>
    </sheetView>
  </sheetViews>
  <sheetFormatPr defaultColWidth="9.1328125" defaultRowHeight="15.75"/>
  <cols>
    <col min="1" max="1" width="8.265625" style="29" customWidth="1"/>
    <col min="2" max="2" width="7.265625" style="29" bestFit="1" customWidth="1"/>
    <col min="3" max="3" width="5.86328125" style="29" customWidth="1"/>
    <col min="4" max="4" width="16.1328125" style="29" customWidth="1"/>
    <col min="5" max="5" width="4.3984375" style="29" bestFit="1" customWidth="1"/>
    <col min="6" max="6" width="10.59765625" style="29" customWidth="1"/>
    <col min="7" max="7" width="11.1328125" style="29" customWidth="1"/>
    <col min="8" max="8" width="10.73046875" style="29" customWidth="1"/>
    <col min="9" max="14" width="9.265625" style="29" bestFit="1" customWidth="1"/>
    <col min="15" max="17" width="9.1328125" style="29"/>
    <col min="18" max="18" width="0" style="51" hidden="1" customWidth="1"/>
    <col min="19" max="19" width="10.59765625" style="51" hidden="1" customWidth="1"/>
    <col min="20" max="20" width="27.59765625" style="51" hidden="1" customWidth="1"/>
    <col min="21" max="27" width="8.3984375" style="51" hidden="1" customWidth="1"/>
    <col min="28" max="16384" width="9.1328125" style="29"/>
  </cols>
  <sheetData>
    <row r="1" spans="1:2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s="2" customFormat="1" ht="8.25" customHeight="1">
      <c r="C2" s="3"/>
      <c r="D2" s="4"/>
      <c r="F2" s="4"/>
      <c r="G2" s="4"/>
      <c r="H2" s="5"/>
      <c r="I2" s="4" t="s">
        <v>1</v>
      </c>
      <c r="J2" s="4"/>
      <c r="K2" s="4"/>
      <c r="L2" s="4" t="s">
        <v>1</v>
      </c>
      <c r="M2" s="4"/>
      <c r="N2" s="4"/>
      <c r="O2" s="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s="2" customFormat="1">
      <c r="A3" s="6" t="s">
        <v>38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s="2" customFormat="1">
      <c r="A4" s="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spans="1:27" s="2" customFormat="1" ht="6.75" customHeight="1">
      <c r="A5" s="8"/>
      <c r="B5" s="3"/>
      <c r="C5" s="4"/>
      <c r="D5" s="8"/>
      <c r="E5" s="8"/>
      <c r="F5" s="9"/>
      <c r="G5" s="9"/>
      <c r="H5" s="10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4">
        <v>14</v>
      </c>
      <c r="O5" s="7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s="2" customFormat="1" ht="31.5">
      <c r="A6" s="48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66</v>
      </c>
      <c r="G6" s="12" t="s">
        <v>17</v>
      </c>
      <c r="H6" s="13" t="s">
        <v>71</v>
      </c>
      <c r="I6" s="13" t="s">
        <v>72</v>
      </c>
      <c r="J6" s="13" t="s">
        <v>73</v>
      </c>
      <c r="K6" s="13" t="s">
        <v>74</v>
      </c>
      <c r="L6" s="13" t="s">
        <v>75</v>
      </c>
      <c r="M6" s="13" t="s">
        <v>76</v>
      </c>
      <c r="N6" s="13" t="s">
        <v>77</v>
      </c>
      <c r="O6" s="7"/>
      <c r="R6" s="51"/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</row>
    <row r="7" spans="1:27" s="2" customFormat="1">
      <c r="A7" s="3" t="s">
        <v>21</v>
      </c>
      <c r="B7" s="4" t="s">
        <v>19</v>
      </c>
      <c r="C7" s="4">
        <v>2</v>
      </c>
      <c r="D7" s="7" t="s">
        <v>22</v>
      </c>
      <c r="E7" s="4">
        <v>336</v>
      </c>
      <c r="F7" s="4">
        <v>7</v>
      </c>
      <c r="G7" s="4" t="s">
        <v>20</v>
      </c>
      <c r="H7" s="14">
        <f>'7 1 2017'!H8*1.0135</f>
        <v>23.840856877991222</v>
      </c>
      <c r="I7" s="14">
        <f>'7 1 2017'!I8*1.0135</f>
        <v>25.08493571156427</v>
      </c>
      <c r="J7" s="14">
        <f>'7 1 2017'!J8*1.0135</f>
        <v>26.400788323997308</v>
      </c>
      <c r="K7" s="14">
        <f>'7 1 2017'!K8*1.0135</f>
        <v>27.788414715290319</v>
      </c>
      <c r="L7" s="14">
        <f>'7 1 2017'!L8*1.0135</f>
        <v>29.259777181919979</v>
      </c>
      <c r="M7" s="14">
        <f>'7 1 2017'!M8*1.0135</f>
        <v>30.802913427409635</v>
      </c>
      <c r="N7" s="14">
        <f>'7 1 2017'!N8*1.0135</f>
        <v>32.417823451759268</v>
      </c>
      <c r="O7" s="7"/>
      <c r="R7" s="51"/>
      <c r="S7" s="55" t="s">
        <v>21</v>
      </c>
      <c r="T7" s="56" t="s">
        <v>22</v>
      </c>
      <c r="U7" s="57">
        <f>H7</f>
        <v>23.840856877991222</v>
      </c>
      <c r="V7" s="57">
        <f t="shared" ref="V7:AA7" si="0">I7</f>
        <v>25.08493571156427</v>
      </c>
      <c r="W7" s="57">
        <f t="shared" si="0"/>
        <v>26.400788323997308</v>
      </c>
      <c r="X7" s="57">
        <f t="shared" si="0"/>
        <v>27.788414715290319</v>
      </c>
      <c r="Y7" s="57">
        <f t="shared" si="0"/>
        <v>29.259777181919979</v>
      </c>
      <c r="Z7" s="57">
        <f t="shared" si="0"/>
        <v>30.802913427409635</v>
      </c>
      <c r="AA7" s="57">
        <f t="shared" si="0"/>
        <v>32.417823451759268</v>
      </c>
    </row>
    <row r="8" spans="1:27" s="2" customFormat="1" hidden="1">
      <c r="A8" s="1" t="s">
        <v>113</v>
      </c>
      <c r="B8" s="1" t="s">
        <v>19</v>
      </c>
      <c r="C8" s="1">
        <v>2</v>
      </c>
      <c r="D8" s="7" t="s">
        <v>112</v>
      </c>
      <c r="E8" s="1">
        <v>288</v>
      </c>
      <c r="F8" s="1">
        <v>6</v>
      </c>
      <c r="G8" s="1" t="s">
        <v>20</v>
      </c>
      <c r="H8" s="14">
        <f>VLOOKUP($A8,'7 1 2017'!$A$9:$N$9,H5,0)*1.0135</f>
        <v>22.213984557164931</v>
      </c>
      <c r="I8" s="14">
        <f>VLOOKUP($A8,'7 1 2017'!$A$9:$N$9,I5,0)*1.0135</f>
        <v>23.386289611877999</v>
      </c>
      <c r="J8" s="14">
        <f>VLOOKUP($A8,'7 1 2017'!$A$9:$N$9,J5,0)*1.0135</f>
        <v>24.618406148974376</v>
      </c>
      <c r="K8" s="14">
        <f>VLOOKUP($A8,'7 1 2017'!$A$9:$N$9,K5,0)*1.0135</f>
        <v>25.910334168454082</v>
      </c>
      <c r="L8" s="14">
        <f>VLOOKUP($A8,'7 1 2017'!$A$9:$N$9,L5,0)*1.0135</f>
        <v>27.274035966793772</v>
      </c>
      <c r="M8" s="14">
        <f>VLOOKUP($A8,'7 1 2017'!$A$9:$N$9,M5,0)*1.0135</f>
        <v>28.709511543993436</v>
      </c>
      <c r="N8" s="14">
        <f>VLOOKUP($A8,'7 1 2017'!$A$9:$N$9,N5,0)*1.0135</f>
        <v>30.216760900053099</v>
      </c>
      <c r="O8" s="7"/>
      <c r="R8" s="51"/>
      <c r="S8" s="55" t="s">
        <v>113</v>
      </c>
      <c r="T8" s="56" t="s">
        <v>112</v>
      </c>
      <c r="U8" s="57">
        <v>22.213984557164931</v>
      </c>
      <c r="V8" s="57">
        <v>23.386289611877999</v>
      </c>
      <c r="W8" s="57">
        <v>24.618406148974376</v>
      </c>
      <c r="X8" s="57">
        <v>25.910334168454082</v>
      </c>
      <c r="Y8" s="57">
        <v>27.274035966793772</v>
      </c>
      <c r="Z8" s="57">
        <v>28.709511543993436</v>
      </c>
      <c r="AA8" s="57">
        <v>30.216760900053099</v>
      </c>
    </row>
    <row r="9" spans="1:27" s="16" customFormat="1" ht="16.149999999999999" thickBot="1">
      <c r="A9" s="15"/>
      <c r="B9" s="15"/>
      <c r="C9" s="15"/>
      <c r="E9" s="15"/>
      <c r="F9" s="15"/>
      <c r="G9" s="15"/>
      <c r="H9" s="15"/>
      <c r="I9" s="15"/>
      <c r="J9" s="15"/>
      <c r="K9" s="15"/>
      <c r="R9" s="58"/>
      <c r="S9" s="58"/>
      <c r="T9" s="58"/>
      <c r="U9" s="59"/>
      <c r="V9" s="59"/>
      <c r="W9" s="59"/>
      <c r="X9" s="59"/>
      <c r="Y9" s="59"/>
      <c r="Z9" s="59"/>
      <c r="AA9" s="58"/>
    </row>
    <row r="10" spans="1:27" s="2" customFormat="1">
      <c r="A10" s="8" t="s">
        <v>56</v>
      </c>
      <c r="B10" s="4"/>
      <c r="C10" s="4"/>
      <c r="E10" s="4"/>
      <c r="F10" s="4"/>
      <c r="G10" s="4"/>
      <c r="H10" s="4"/>
      <c r="I10" s="4"/>
      <c r="J10" s="4"/>
      <c r="K10" s="4"/>
      <c r="O10" s="7"/>
      <c r="R10" s="51"/>
      <c r="S10" s="51"/>
      <c r="T10" s="51"/>
      <c r="U10" s="57"/>
      <c r="V10" s="57"/>
      <c r="W10" s="57"/>
      <c r="X10" s="57"/>
      <c r="Y10" s="57"/>
      <c r="Z10" s="57"/>
      <c r="AA10" s="51"/>
    </row>
    <row r="11" spans="1:27" s="2" customFormat="1">
      <c r="A11" s="2" t="s">
        <v>50</v>
      </c>
      <c r="B11" s="4"/>
      <c r="C11" s="4"/>
      <c r="E11" s="4"/>
      <c r="F11" s="4"/>
      <c r="H11" s="36">
        <f>ROUND('7 1 2017'!H12*1.0135,3)</f>
        <v>0.47699999999999998</v>
      </c>
      <c r="I11" s="3" t="s">
        <v>51</v>
      </c>
      <c r="J11" s="3"/>
      <c r="K11" s="3"/>
      <c r="L11" s="3"/>
      <c r="M11" s="3"/>
      <c r="O11" s="7"/>
      <c r="R11" s="51"/>
      <c r="S11" s="60" t="s">
        <v>82</v>
      </c>
      <c r="T11" s="60" t="s">
        <v>83</v>
      </c>
      <c r="U11" s="57">
        <f>H11</f>
        <v>0.47699999999999998</v>
      </c>
      <c r="V11" s="57"/>
      <c r="W11" s="57"/>
      <c r="X11" s="61"/>
      <c r="Y11" s="57"/>
      <c r="Z11" s="57"/>
      <c r="AA11" s="51"/>
    </row>
    <row r="12" spans="1:27" s="2" customFormat="1">
      <c r="A12" s="2" t="s">
        <v>53</v>
      </c>
      <c r="O12" s="7"/>
      <c r="R12" s="51"/>
      <c r="S12" s="51"/>
      <c r="T12" s="51"/>
      <c r="U12" s="57"/>
      <c r="V12" s="57"/>
      <c r="W12" s="57"/>
      <c r="X12" s="57"/>
      <c r="Y12" s="57"/>
      <c r="Z12" s="57"/>
      <c r="AA12" s="51"/>
    </row>
    <row r="13" spans="1:27" s="2" customFormat="1" ht="8.25" customHeight="1">
      <c r="O13" s="7"/>
      <c r="R13" s="51"/>
      <c r="S13" s="51"/>
      <c r="T13" s="51"/>
      <c r="U13" s="57"/>
      <c r="V13" s="57"/>
      <c r="W13" s="57"/>
      <c r="X13" s="57"/>
      <c r="Y13" s="57"/>
      <c r="Z13" s="57"/>
      <c r="AA13" s="51"/>
    </row>
    <row r="14" spans="1:27" s="2" customFormat="1">
      <c r="A14" s="2" t="s">
        <v>50</v>
      </c>
      <c r="H14" s="36">
        <f>ROUND('7 1 2017'!H15*1.0135,3)</f>
        <v>1.1339999999999999</v>
      </c>
      <c r="I14" s="2" t="s">
        <v>23</v>
      </c>
      <c r="O14" s="7"/>
      <c r="R14" s="51"/>
      <c r="S14" s="60" t="s">
        <v>84</v>
      </c>
      <c r="T14" s="60" t="s">
        <v>85</v>
      </c>
      <c r="U14" s="57">
        <f>H14</f>
        <v>1.1339999999999999</v>
      </c>
      <c r="V14" s="57"/>
      <c r="W14" s="57"/>
      <c r="X14" s="57"/>
      <c r="Y14" s="57"/>
      <c r="Z14" s="57"/>
      <c r="AA14" s="51"/>
    </row>
    <row r="15" spans="1:27" s="2" customFormat="1">
      <c r="A15" s="2" t="s">
        <v>52</v>
      </c>
      <c r="B15" s="4"/>
      <c r="C15" s="4"/>
      <c r="E15" s="4"/>
      <c r="F15" s="4"/>
      <c r="G15" s="4"/>
      <c r="H15" s="4"/>
      <c r="I15" s="4"/>
      <c r="J15" s="4"/>
      <c r="K15" s="4"/>
      <c r="O15" s="7"/>
      <c r="R15" s="51"/>
      <c r="S15" s="51"/>
      <c r="T15" s="51"/>
      <c r="U15" s="57"/>
      <c r="V15" s="57"/>
      <c r="W15" s="57"/>
      <c r="X15" s="57"/>
      <c r="Y15" s="57"/>
      <c r="Z15" s="57"/>
      <c r="AA15" s="51"/>
    </row>
    <row r="16" spans="1:27" s="2" customFormat="1" ht="8.25" customHeight="1">
      <c r="B16" s="4"/>
      <c r="C16" s="4"/>
      <c r="E16" s="4"/>
      <c r="F16" s="4"/>
      <c r="G16" s="4"/>
      <c r="H16" s="4"/>
      <c r="I16" s="4"/>
      <c r="J16" s="4"/>
      <c r="K16" s="4"/>
      <c r="O16" s="7"/>
      <c r="R16" s="51"/>
      <c r="S16" s="51"/>
      <c r="T16" s="51"/>
      <c r="U16" s="57"/>
      <c r="V16" s="57"/>
      <c r="W16" s="57"/>
      <c r="X16" s="57"/>
      <c r="Y16" s="57"/>
      <c r="Z16" s="57"/>
      <c r="AA16" s="51"/>
    </row>
    <row r="17" spans="1:27" s="2" customFormat="1">
      <c r="A17" s="2" t="s">
        <v>24</v>
      </c>
      <c r="O17" s="7"/>
      <c r="R17" s="51"/>
      <c r="S17" s="51"/>
      <c r="T17" s="51"/>
      <c r="U17" s="57"/>
      <c r="V17" s="57"/>
      <c r="W17" s="57"/>
      <c r="X17" s="57"/>
      <c r="Y17" s="57"/>
      <c r="Z17" s="57"/>
      <c r="AA17" s="51"/>
    </row>
    <row r="18" spans="1:27" s="2" customFormat="1">
      <c r="A18" s="2" t="s">
        <v>25</v>
      </c>
      <c r="O18" s="7"/>
      <c r="R18" s="51"/>
      <c r="S18" s="51"/>
      <c r="T18" s="51"/>
      <c r="U18" s="57"/>
      <c r="V18" s="57"/>
      <c r="W18" s="57"/>
      <c r="X18" s="57"/>
      <c r="Y18" s="57"/>
      <c r="Z18" s="57"/>
      <c r="AA18" s="51"/>
    </row>
    <row r="19" spans="1:27" s="2" customFormat="1">
      <c r="A19" s="2" t="s">
        <v>26</v>
      </c>
      <c r="O19" s="7"/>
      <c r="R19" s="51"/>
      <c r="S19" s="51"/>
      <c r="T19" s="51"/>
      <c r="U19" s="57"/>
      <c r="V19" s="57"/>
      <c r="W19" s="57"/>
      <c r="X19" s="57"/>
      <c r="Y19" s="57"/>
      <c r="Z19" s="57"/>
      <c r="AA19" s="51"/>
    </row>
    <row r="20" spans="1:2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R20" s="51"/>
      <c r="S20" s="51"/>
      <c r="T20" s="51"/>
      <c r="U20" s="57"/>
      <c r="V20" s="57"/>
      <c r="W20" s="57"/>
      <c r="X20" s="57"/>
      <c r="Y20" s="57"/>
      <c r="Z20" s="57"/>
      <c r="AA20" s="51"/>
    </row>
    <row r="21" spans="1:27" s="2" customFormat="1" ht="8.25" customHeigh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7"/>
      <c r="M21" s="7"/>
      <c r="N21" s="7"/>
      <c r="O21" s="7"/>
      <c r="R21" s="51"/>
      <c r="S21" s="51"/>
      <c r="T21" s="51"/>
      <c r="U21" s="57"/>
      <c r="V21" s="57"/>
      <c r="W21" s="57"/>
      <c r="X21" s="57"/>
      <c r="Y21" s="57"/>
      <c r="Z21" s="57"/>
      <c r="AA21" s="51"/>
    </row>
    <row r="22" spans="1:2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7"/>
      <c r="M22" s="7"/>
      <c r="N22" s="7"/>
      <c r="O22" s="7"/>
      <c r="R22" s="51"/>
      <c r="S22" s="51"/>
      <c r="T22" s="51"/>
      <c r="U22" s="57"/>
      <c r="V22" s="57"/>
      <c r="W22" s="57"/>
      <c r="X22" s="57"/>
      <c r="Y22" s="57"/>
      <c r="Z22" s="57"/>
      <c r="AA22" s="51"/>
    </row>
    <row r="23" spans="1:27" s="2" customFormat="1" ht="7.5" customHeight="1">
      <c r="B23" s="1"/>
      <c r="C23" s="1"/>
      <c r="D23" s="7"/>
      <c r="E23" s="1"/>
      <c r="F23" s="1"/>
      <c r="G23" s="1"/>
      <c r="H23" s="1"/>
      <c r="I23" s="1"/>
      <c r="J23" s="1"/>
      <c r="K23" s="1"/>
      <c r="L23" s="7"/>
      <c r="M23" s="7"/>
      <c r="N23" s="7"/>
      <c r="O23" s="7"/>
      <c r="R23" s="51"/>
      <c r="S23" s="51"/>
      <c r="T23" s="51"/>
      <c r="U23" s="57"/>
      <c r="V23" s="57"/>
      <c r="W23" s="57"/>
      <c r="X23" s="57"/>
      <c r="Y23" s="57"/>
      <c r="Z23" s="57"/>
      <c r="AA23" s="51"/>
    </row>
    <row r="24" spans="1:2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7"/>
      <c r="M24" s="7"/>
      <c r="N24" s="7"/>
      <c r="O24" s="7"/>
      <c r="R24" s="51"/>
      <c r="S24" s="51"/>
      <c r="T24" s="51"/>
      <c r="U24" s="57"/>
      <c r="V24" s="57"/>
      <c r="W24" s="57"/>
      <c r="X24" s="57"/>
      <c r="Y24" s="57"/>
      <c r="Z24" s="57"/>
      <c r="AA24" s="51"/>
    </row>
    <row r="25" spans="1:2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7"/>
      <c r="M25" s="7"/>
      <c r="N25" s="7"/>
      <c r="O25" s="7"/>
      <c r="R25" s="51"/>
      <c r="S25" s="51"/>
      <c r="T25" s="51"/>
      <c r="U25" s="57"/>
      <c r="V25" s="57"/>
      <c r="W25" s="57"/>
      <c r="X25" s="57"/>
      <c r="Y25" s="57"/>
      <c r="Z25" s="57"/>
      <c r="AA25" s="51"/>
    </row>
    <row r="26" spans="1:27" s="2" customFormat="1">
      <c r="A26" s="19" t="s">
        <v>34</v>
      </c>
      <c r="B26" s="20"/>
      <c r="C26" s="20"/>
      <c r="D26" s="21"/>
      <c r="E26" s="20"/>
      <c r="F26" s="20"/>
      <c r="G26" s="20"/>
      <c r="H26" s="20"/>
      <c r="I26" s="20"/>
      <c r="J26" s="20"/>
      <c r="K26" s="20"/>
      <c r="L26" s="21"/>
      <c r="M26" s="21"/>
      <c r="N26" s="21"/>
      <c r="O26" s="7"/>
      <c r="R26" s="51"/>
      <c r="S26" s="51"/>
      <c r="T26" s="51"/>
      <c r="U26" s="57"/>
      <c r="V26" s="57"/>
      <c r="W26" s="57"/>
      <c r="X26" s="57"/>
      <c r="Y26" s="57"/>
      <c r="Z26" s="57"/>
      <c r="AA26" s="51"/>
    </row>
    <row r="27" spans="1:27" s="2" customFormat="1">
      <c r="A27" s="7" t="s">
        <v>40</v>
      </c>
      <c r="B27" s="1"/>
      <c r="C27" s="1"/>
      <c r="D27" s="7"/>
      <c r="E27" s="1"/>
      <c r="F27" s="1"/>
      <c r="G27" s="1"/>
      <c r="H27" s="1"/>
      <c r="I27" s="1"/>
      <c r="J27" s="1"/>
      <c r="K27" s="1"/>
      <c r="L27" s="7"/>
      <c r="M27" s="7"/>
      <c r="N27" s="7"/>
      <c r="O27" s="7"/>
      <c r="R27" s="51"/>
      <c r="S27" s="51" t="s">
        <v>97</v>
      </c>
      <c r="T27" s="51" t="s">
        <v>90</v>
      </c>
      <c r="U27" s="62">
        <v>1200</v>
      </c>
      <c r="V27" s="57"/>
      <c r="W27" s="57"/>
      <c r="X27" s="57"/>
      <c r="Y27" s="57"/>
      <c r="Z27" s="57"/>
      <c r="AA27" s="51"/>
    </row>
    <row r="28" spans="1:27" s="2" customFormat="1">
      <c r="A28" s="7" t="s">
        <v>41</v>
      </c>
      <c r="B28" s="1"/>
      <c r="C28" s="1"/>
      <c r="D28" s="7"/>
      <c r="E28" s="1"/>
      <c r="F28" s="1"/>
      <c r="G28" s="1"/>
      <c r="H28" s="1"/>
      <c r="I28" s="1"/>
      <c r="J28" s="1"/>
      <c r="K28" s="1"/>
      <c r="L28" s="7"/>
      <c r="M28" s="7"/>
      <c r="N28" s="7"/>
      <c r="O28" s="7"/>
      <c r="R28" s="51"/>
      <c r="S28" s="51"/>
      <c r="T28" s="51"/>
      <c r="U28" s="57"/>
      <c r="V28" s="57"/>
      <c r="W28" s="57"/>
      <c r="X28" s="57"/>
      <c r="Y28" s="57"/>
      <c r="Z28" s="57"/>
      <c r="AA28" s="51"/>
    </row>
    <row r="29" spans="1:27" s="2" customFormat="1">
      <c r="A29" s="22"/>
      <c r="B29" s="23"/>
      <c r="C29" s="23"/>
      <c r="D29" s="22"/>
      <c r="E29" s="23"/>
      <c r="F29" s="23"/>
      <c r="G29" s="23"/>
      <c r="H29" s="23"/>
      <c r="I29" s="23"/>
      <c r="J29" s="23"/>
      <c r="K29" s="23"/>
      <c r="L29" s="22"/>
      <c r="M29" s="22"/>
      <c r="N29" s="22"/>
      <c r="O29" s="7"/>
      <c r="R29" s="51"/>
      <c r="S29" s="51"/>
      <c r="T29" s="51"/>
      <c r="U29" s="57"/>
      <c r="V29" s="57"/>
      <c r="W29" s="57"/>
      <c r="X29" s="57"/>
      <c r="Y29" s="57"/>
      <c r="Z29" s="57"/>
      <c r="AA29" s="51"/>
    </row>
    <row r="30" spans="1:27" s="2" customFormat="1">
      <c r="A30" s="6" t="s">
        <v>28</v>
      </c>
      <c r="I30" s="4"/>
      <c r="J30" s="4"/>
      <c r="K30" s="4"/>
      <c r="O30" s="7"/>
      <c r="R30" s="51"/>
      <c r="S30" s="51"/>
      <c r="T30" s="51"/>
      <c r="U30" s="57"/>
      <c r="V30" s="57"/>
      <c r="W30" s="57"/>
      <c r="X30" s="57"/>
      <c r="Y30" s="57"/>
      <c r="Z30" s="57"/>
      <c r="AA30" s="51"/>
    </row>
    <row r="31" spans="1:27" s="2" customFormat="1">
      <c r="A31" s="2" t="s">
        <v>29</v>
      </c>
      <c r="I31" s="4"/>
      <c r="J31" s="4"/>
      <c r="K31" s="4"/>
      <c r="O31" s="7"/>
      <c r="R31" s="51"/>
      <c r="S31" s="51"/>
      <c r="T31" s="51"/>
      <c r="U31" s="57"/>
      <c r="V31" s="57"/>
      <c r="W31" s="57"/>
      <c r="X31" s="57"/>
      <c r="Y31" s="57"/>
      <c r="Z31" s="57"/>
      <c r="AA31" s="51"/>
    </row>
    <row r="32" spans="1:27" s="2" customFormat="1">
      <c r="B32" s="24">
        <f>'7 1 2017'!B33*1.0135</f>
        <v>0.39662207775847563</v>
      </c>
      <c r="C32" s="2" t="s">
        <v>30</v>
      </c>
      <c r="I32" s="4"/>
      <c r="J32" s="4"/>
      <c r="K32" s="4"/>
      <c r="O32" s="7"/>
      <c r="R32" s="51"/>
      <c r="S32" s="51" t="s">
        <v>86</v>
      </c>
      <c r="T32" s="51"/>
      <c r="U32" s="57">
        <f>B32</f>
        <v>0.39662207775847563</v>
      </c>
      <c r="V32" s="57"/>
      <c r="W32" s="57"/>
      <c r="X32" s="57"/>
      <c r="Y32" s="57"/>
      <c r="Z32" s="57"/>
      <c r="AA32" s="51"/>
    </row>
    <row r="33" spans="1:27" s="2" customFormat="1">
      <c r="B33" s="24">
        <f>'7 1 2017'!B34*1.0135</f>
        <v>0.5115999370113008</v>
      </c>
      <c r="C33" s="2" t="s">
        <v>31</v>
      </c>
      <c r="I33" s="4"/>
      <c r="J33" s="4"/>
      <c r="K33" s="4"/>
      <c r="O33" s="7"/>
      <c r="R33" s="51"/>
      <c r="S33" s="51" t="s">
        <v>87</v>
      </c>
      <c r="T33" s="51"/>
      <c r="U33" s="57">
        <f t="shared" ref="U33:U35" si="1">B33</f>
        <v>0.5115999370113008</v>
      </c>
      <c r="V33" s="57"/>
      <c r="W33" s="57"/>
      <c r="X33" s="57"/>
      <c r="Y33" s="57"/>
      <c r="Z33" s="57"/>
      <c r="AA33" s="51"/>
    </row>
    <row r="34" spans="1:27" s="2" customFormat="1">
      <c r="B34" s="24">
        <f>'7 1 2017'!B35*1.0135</f>
        <v>0.62657779626412613</v>
      </c>
      <c r="C34" s="2" t="s">
        <v>32</v>
      </c>
      <c r="I34" s="4"/>
      <c r="J34" s="4"/>
      <c r="K34" s="4"/>
      <c r="O34" s="7"/>
      <c r="R34" s="51"/>
      <c r="S34" s="51" t="s">
        <v>88</v>
      </c>
      <c r="T34" s="51"/>
      <c r="U34" s="57">
        <f t="shared" si="1"/>
        <v>0.62657779626412613</v>
      </c>
      <c r="V34" s="57"/>
      <c r="W34" s="57"/>
      <c r="X34" s="57"/>
      <c r="Y34" s="57"/>
      <c r="Z34" s="57"/>
      <c r="AA34" s="51"/>
    </row>
    <row r="35" spans="1:27" s="2" customFormat="1">
      <c r="B35" s="24">
        <f>'7 1 2017'!B36*1.0135</f>
        <v>0.74155565551695124</v>
      </c>
      <c r="C35" s="2" t="s">
        <v>33</v>
      </c>
      <c r="I35" s="4"/>
      <c r="J35" s="4"/>
      <c r="K35" s="4"/>
      <c r="O35" s="7"/>
      <c r="R35" s="51"/>
      <c r="S35" s="51" t="s">
        <v>89</v>
      </c>
      <c r="T35" s="51"/>
      <c r="U35" s="57">
        <f t="shared" si="1"/>
        <v>0.74155565551695124</v>
      </c>
      <c r="V35" s="57"/>
      <c r="W35" s="57"/>
      <c r="X35" s="57"/>
      <c r="Y35" s="57"/>
      <c r="Z35" s="57"/>
      <c r="AA35" s="51"/>
    </row>
    <row r="36" spans="1:27" s="2" customFormat="1" ht="24" customHeight="1">
      <c r="A36" s="23"/>
      <c r="B36" s="23"/>
      <c r="C36" s="23"/>
      <c r="D36" s="22"/>
      <c r="E36" s="23"/>
      <c r="F36" s="23"/>
      <c r="G36" s="23"/>
      <c r="H36" s="23"/>
      <c r="I36" s="23"/>
      <c r="J36" s="23"/>
      <c r="K36" s="23"/>
      <c r="L36" s="22"/>
      <c r="M36" s="22"/>
      <c r="N36" s="23"/>
      <c r="O36" s="1"/>
      <c r="R36" s="51"/>
      <c r="S36" s="51"/>
      <c r="T36" s="51"/>
      <c r="U36" s="57"/>
      <c r="V36" s="57"/>
      <c r="W36" s="57"/>
      <c r="X36" s="57"/>
      <c r="Y36" s="57"/>
      <c r="Z36" s="57"/>
      <c r="AA36" s="51"/>
    </row>
    <row r="37" spans="1:27" s="26" customFormat="1" ht="24" customHeight="1">
      <c r="A37" s="25" t="s">
        <v>35</v>
      </c>
      <c r="E37" s="27"/>
      <c r="F37" s="27"/>
      <c r="G37" s="32"/>
      <c r="H37" s="27"/>
      <c r="I37" s="27"/>
      <c r="J37" s="27"/>
      <c r="K37" s="27"/>
      <c r="L37" s="27"/>
      <c r="M37" s="27"/>
      <c r="N37" s="27"/>
      <c r="O37" s="28"/>
      <c r="R37" s="51"/>
      <c r="S37" s="51"/>
      <c r="T37" s="51"/>
      <c r="U37" s="57"/>
      <c r="V37" s="57"/>
      <c r="W37" s="57"/>
      <c r="X37" s="57"/>
      <c r="Y37" s="57"/>
      <c r="Z37" s="57"/>
      <c r="AA37" s="63"/>
    </row>
    <row r="38" spans="1:27" s="2" customFormat="1">
      <c r="A38" s="37" t="s">
        <v>57</v>
      </c>
      <c r="B38" s="26"/>
      <c r="C38" s="26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31"/>
      <c r="O38" s="28"/>
      <c r="R38" s="63"/>
      <c r="S38" s="63"/>
      <c r="T38" s="63"/>
      <c r="U38" s="64"/>
      <c r="V38" s="64"/>
      <c r="W38" s="64"/>
      <c r="X38" s="64"/>
      <c r="Y38" s="64"/>
      <c r="Z38" s="64"/>
      <c r="AA38" s="51"/>
    </row>
    <row r="39" spans="1:27" s="2" customFormat="1">
      <c r="A39" s="2" t="s">
        <v>58</v>
      </c>
      <c r="F39" s="2" t="s">
        <v>42</v>
      </c>
      <c r="G39" s="4"/>
      <c r="J39" s="34">
        <f>N7*0.2</f>
        <v>6.4835646903518542</v>
      </c>
      <c r="K39" s="3" t="s">
        <v>55</v>
      </c>
      <c r="L39" s="4"/>
      <c r="M39" s="4"/>
      <c r="N39" s="4"/>
      <c r="O39" s="1"/>
      <c r="R39" s="51"/>
      <c r="S39" s="51"/>
      <c r="T39" s="51"/>
      <c r="U39" s="57"/>
      <c r="V39" s="57"/>
      <c r="W39" s="57"/>
      <c r="X39" s="57"/>
      <c r="Y39" s="57"/>
      <c r="Z39" s="57"/>
      <c r="AA39" s="51"/>
    </row>
    <row r="40" spans="1:27" s="2" customFormat="1">
      <c r="A40" s="3"/>
      <c r="E40" s="4"/>
      <c r="F40" s="4"/>
      <c r="G40" s="4"/>
      <c r="I40" s="32"/>
      <c r="J40" s="3"/>
      <c r="K40" s="4"/>
      <c r="L40" s="4"/>
      <c r="M40" s="4"/>
      <c r="N40" s="4"/>
      <c r="O40" s="1"/>
      <c r="R40" s="51"/>
      <c r="S40" s="51" t="s">
        <v>92</v>
      </c>
      <c r="T40" s="51" t="s">
        <v>35</v>
      </c>
      <c r="U40" s="65">
        <f>J39</f>
        <v>6.4835646903518542</v>
      </c>
      <c r="V40" s="57"/>
      <c r="W40" s="57"/>
      <c r="X40" s="57"/>
      <c r="Y40" s="57"/>
      <c r="Z40" s="57"/>
      <c r="AA40" s="51"/>
    </row>
    <row r="41" spans="1:27" s="2" customFormat="1">
      <c r="A41" s="25" t="s">
        <v>64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1"/>
      <c r="R41" s="51"/>
      <c r="S41" s="51"/>
      <c r="T41" s="51"/>
      <c r="U41" s="57"/>
      <c r="V41" s="57"/>
      <c r="W41" s="57"/>
      <c r="X41" s="57"/>
      <c r="Y41" s="57"/>
      <c r="Z41" s="57"/>
      <c r="AA41" s="51"/>
    </row>
    <row r="42" spans="1:27" s="2" customFormat="1">
      <c r="A42" s="40" t="s">
        <v>62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1"/>
      <c r="R42" s="51"/>
      <c r="S42" s="51"/>
      <c r="T42" s="51"/>
      <c r="U42" s="57"/>
      <c r="V42" s="57"/>
      <c r="W42" s="57"/>
      <c r="X42" s="57"/>
      <c r="Y42" s="57"/>
      <c r="Z42" s="57"/>
      <c r="AA42" s="51"/>
    </row>
    <row r="43" spans="1:27" s="2" customFormat="1">
      <c r="A43" s="2" t="s">
        <v>63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1"/>
      <c r="R43" s="51"/>
      <c r="S43" s="51"/>
      <c r="T43" s="51"/>
      <c r="U43" s="57"/>
      <c r="V43" s="57"/>
      <c r="W43" s="57"/>
      <c r="X43" s="57"/>
      <c r="Y43" s="57"/>
      <c r="Z43" s="57"/>
      <c r="AA43" s="51"/>
    </row>
    <row r="44" spans="1:27" s="2" customFormat="1">
      <c r="E44" s="39" t="s">
        <v>60</v>
      </c>
      <c r="F44" s="9"/>
      <c r="H44" s="9"/>
      <c r="I44" s="9">
        <v>1</v>
      </c>
      <c r="J44" s="9">
        <v>2</v>
      </c>
      <c r="K44" s="9">
        <v>3</v>
      </c>
      <c r="L44" s="9">
        <v>4</v>
      </c>
      <c r="M44" s="9">
        <v>5</v>
      </c>
      <c r="N44" s="9">
        <v>6</v>
      </c>
      <c r="O44" s="42">
        <v>7</v>
      </c>
      <c r="R44" s="51"/>
      <c r="S44" s="66"/>
      <c r="T44" s="66"/>
      <c r="U44" s="66"/>
      <c r="V44" s="66"/>
      <c r="W44" s="66"/>
      <c r="X44" s="66"/>
      <c r="Y44" s="66"/>
      <c r="Z44" s="57"/>
      <c r="AA44" s="51"/>
    </row>
    <row r="45" spans="1:27">
      <c r="G45" s="43" t="s">
        <v>61</v>
      </c>
      <c r="I45" s="41">
        <f>H7*1.5</f>
        <v>35.761285316986829</v>
      </c>
      <c r="J45" s="41">
        <f t="shared" ref="J45:O45" si="2">I7*1.5</f>
        <v>37.627403567346406</v>
      </c>
      <c r="K45" s="41">
        <f t="shared" si="2"/>
        <v>39.601182485995963</v>
      </c>
      <c r="L45" s="41">
        <f t="shared" si="2"/>
        <v>41.68262207293548</v>
      </c>
      <c r="M45" s="41">
        <f t="shared" si="2"/>
        <v>43.889665772879965</v>
      </c>
      <c r="N45" s="41">
        <f t="shared" si="2"/>
        <v>46.204370141114453</v>
      </c>
      <c r="O45" s="41">
        <f t="shared" si="2"/>
        <v>48.626735177638906</v>
      </c>
      <c r="S45" s="67"/>
      <c r="T45" s="67"/>
      <c r="U45" s="67"/>
      <c r="V45" s="67"/>
      <c r="W45" s="67"/>
      <c r="X45" s="67"/>
      <c r="Y45" s="67"/>
    </row>
    <row r="46" spans="1:27">
      <c r="Z46" s="57"/>
    </row>
  </sheetData>
  <mergeCells count="1">
    <mergeCell ref="A1:N1"/>
  </mergeCells>
  <phoneticPr fontId="12" type="noConversion"/>
  <pageMargins left="0.25" right="0.25" top="0.75" bottom="0.75" header="0.3" footer="0.3"/>
  <pageSetup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46"/>
  <sheetViews>
    <sheetView topLeftCell="B1" workbookViewId="0">
      <selection activeCell="A9" sqref="A9:XFD9"/>
    </sheetView>
  </sheetViews>
  <sheetFormatPr defaultColWidth="9.1328125" defaultRowHeight="15.75"/>
  <cols>
    <col min="1" max="1" width="6.3984375" style="29" hidden="1" customWidth="1"/>
    <col min="2" max="2" width="8.59765625" style="29" customWidth="1"/>
    <col min="3" max="3" width="7.265625" style="29" bestFit="1" customWidth="1"/>
    <col min="4" max="4" width="5.86328125" style="29" customWidth="1"/>
    <col min="5" max="5" width="18.59765625" style="29" bestFit="1" customWidth="1"/>
    <col min="6" max="6" width="4.3984375" style="29" bestFit="1" customWidth="1"/>
    <col min="7" max="7" width="7.86328125" style="29" customWidth="1"/>
    <col min="8" max="8" width="9.1328125" style="29" customWidth="1"/>
    <col min="9" max="9" width="11.59765625" style="29" customWidth="1"/>
    <col min="10" max="15" width="9.265625" style="29" bestFit="1" customWidth="1"/>
    <col min="16" max="17" width="9.1328125" style="29"/>
    <col min="18" max="18" width="12.265625" style="51" hidden="1" customWidth="1"/>
    <col min="19" max="19" width="10.59765625" style="51" hidden="1" customWidth="1"/>
    <col min="20" max="20" width="27.59765625" style="51" hidden="1" customWidth="1"/>
    <col min="21" max="22" width="8.3984375" style="57" hidden="1" customWidth="1"/>
    <col min="23" max="23" width="23.73046875" style="57" hidden="1" customWidth="1"/>
    <col min="24" max="27" width="8.3984375" style="57" hidden="1" customWidth="1"/>
    <col min="28" max="28" width="9.1328125" style="50"/>
    <col min="29" max="16384" width="9.1328125" style="29"/>
  </cols>
  <sheetData>
    <row r="1" spans="1:28" s="2" customFormat="1"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51" t="s">
        <v>79</v>
      </c>
      <c r="S1" s="51">
        <v>1.0225</v>
      </c>
      <c r="T1" s="51"/>
      <c r="U1" s="57"/>
      <c r="V1" s="57"/>
      <c r="W1" s="57"/>
      <c r="X1" s="57"/>
      <c r="Y1" s="57"/>
      <c r="Z1" s="57"/>
      <c r="AA1" s="57"/>
      <c r="AB1" s="24"/>
    </row>
    <row r="2" spans="1:28" s="2" customFormat="1" ht="8.25" customHeight="1">
      <c r="D2" s="3"/>
      <c r="E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51"/>
      <c r="S2" s="51"/>
      <c r="T2" s="51"/>
      <c r="U2" s="57"/>
      <c r="V2" s="57"/>
      <c r="W2" s="57"/>
      <c r="X2" s="57"/>
      <c r="Y2" s="57"/>
      <c r="Z2" s="57"/>
      <c r="AA2" s="57"/>
      <c r="AB2" s="24"/>
    </row>
    <row r="3" spans="1:28" s="2" customFormat="1">
      <c r="B3" s="6" t="s">
        <v>39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51"/>
      <c r="S3" s="51"/>
      <c r="T3" s="51"/>
      <c r="U3" s="57"/>
      <c r="V3" s="57"/>
      <c r="W3" s="57"/>
      <c r="X3" s="57"/>
      <c r="Y3" s="57"/>
      <c r="Z3" s="57"/>
      <c r="AA3" s="57"/>
      <c r="AB3" s="24"/>
    </row>
    <row r="4" spans="1:28" s="2" customFormat="1">
      <c r="B4" s="2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51"/>
      <c r="S4" s="51"/>
      <c r="T4" s="51"/>
      <c r="U4" s="57"/>
      <c r="V4" s="57"/>
      <c r="W4" s="57"/>
      <c r="X4" s="57"/>
      <c r="Y4" s="57"/>
      <c r="Z4" s="57"/>
      <c r="AA4" s="57"/>
      <c r="AB4" s="24"/>
    </row>
    <row r="5" spans="1:28" s="2" customFormat="1" ht="6.75" customHeight="1">
      <c r="B5" s="8"/>
      <c r="C5" s="3"/>
      <c r="D5" s="4"/>
      <c r="E5" s="8"/>
      <c r="F5" s="8"/>
      <c r="G5" s="9"/>
      <c r="H5" s="9"/>
      <c r="I5" s="10"/>
      <c r="J5" s="9"/>
      <c r="K5" s="9"/>
      <c r="L5" s="9"/>
      <c r="M5" s="9"/>
      <c r="N5" s="9"/>
      <c r="O5" s="4"/>
      <c r="P5" s="7"/>
      <c r="R5" s="51"/>
      <c r="S5" s="51"/>
      <c r="T5" s="51"/>
      <c r="U5" s="57"/>
      <c r="V5" s="57"/>
      <c r="W5" s="57"/>
      <c r="X5" s="57"/>
      <c r="Y5" s="57"/>
      <c r="Z5" s="57"/>
      <c r="AA5" s="57"/>
      <c r="AB5" s="24"/>
    </row>
    <row r="6" spans="1:28" s="2" customFormat="1" ht="31.5" customHeight="1">
      <c r="A6" s="47" t="s">
        <v>68</v>
      </c>
      <c r="B6" s="45" t="s">
        <v>78</v>
      </c>
      <c r="C6" s="12" t="s">
        <v>12</v>
      </c>
      <c r="D6" s="12" t="s">
        <v>13</v>
      </c>
      <c r="E6" s="11" t="s">
        <v>14</v>
      </c>
      <c r="F6" s="12" t="s">
        <v>15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51" t="s">
        <v>80</v>
      </c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  <c r="AB6" s="24"/>
    </row>
    <row r="7" spans="1:28" s="2" customFormat="1">
      <c r="A7" s="46" t="s">
        <v>69</v>
      </c>
      <c r="B7" s="3" t="s">
        <v>21</v>
      </c>
      <c r="C7" s="4" t="s">
        <v>19</v>
      </c>
      <c r="D7" s="4">
        <v>2</v>
      </c>
      <c r="E7" s="7" t="s">
        <v>22</v>
      </c>
      <c r="F7" s="4">
        <v>336</v>
      </c>
      <c r="G7" s="4">
        <v>7</v>
      </c>
      <c r="H7" s="4" t="s">
        <v>20</v>
      </c>
      <c r="I7" s="14">
        <f>U7</f>
        <v>24.377276157746024</v>
      </c>
      <c r="J7" s="14">
        <f t="shared" ref="J7:O7" si="0">V7</f>
        <v>25.649346765074466</v>
      </c>
      <c r="K7" s="14">
        <f t="shared" si="0"/>
        <v>26.994806061287246</v>
      </c>
      <c r="L7" s="14">
        <f t="shared" si="0"/>
        <v>28.413654046384352</v>
      </c>
      <c r="M7" s="14">
        <f t="shared" si="0"/>
        <v>29.918122168513179</v>
      </c>
      <c r="N7" s="14">
        <f t="shared" si="0"/>
        <v>31.495978979526349</v>
      </c>
      <c r="O7" s="14">
        <f t="shared" si="0"/>
        <v>33.147224479423848</v>
      </c>
      <c r="P7" s="7"/>
      <c r="R7" s="51" t="s">
        <v>81</v>
      </c>
      <c r="S7" s="55" t="s">
        <v>21</v>
      </c>
      <c r="T7" s="56" t="s">
        <v>22</v>
      </c>
      <c r="U7" s="57">
        <f>IF($R7="Y",VLOOKUP($S7,Rates2019,3,0)*PercInc2019,VLOOKUP($S7,Rates2019,3,0))</f>
        <v>24.377276157746024</v>
      </c>
      <c r="V7" s="57">
        <f>IF($R7="Y",VLOOKUP($S7,Rates2019,4,0)*PercInc2019,VLOOKUP($S7,Rates2019,4,0))</f>
        <v>25.649346765074466</v>
      </c>
      <c r="W7" s="57">
        <f>IF($R7="Y",VLOOKUP($S7,Rates2019,5,0)*PercInc2019,VLOOKUP($S7,Rates2019,5,0))</f>
        <v>26.994806061287246</v>
      </c>
      <c r="X7" s="57">
        <f>IF($R7="Y",VLOOKUP($S7,Rates2019,6,0)*PercInc2019,VLOOKUP($S7,Rates2019,6,0))</f>
        <v>28.413654046384352</v>
      </c>
      <c r="Y7" s="57">
        <f>IF($R7="Y",VLOOKUP($S7,Rates2019,7,0)*PercInc2019,VLOOKUP($S7,Rates2019,7,0))</f>
        <v>29.918122168513179</v>
      </c>
      <c r="Z7" s="57">
        <f>IF($R7="Y",VLOOKUP($S7,Rates2019,8,0)*PercInc2019,VLOOKUP($S7,Rates2019,8,0))</f>
        <v>31.495978979526349</v>
      </c>
      <c r="AA7" s="57">
        <f>IF($R7="Y",VLOOKUP($S7,Rates2019,9,0)*PercInc2019,VLOOKUP($S7,Rates2019,9,0))</f>
        <v>33.147224479423848</v>
      </c>
      <c r="AB7" s="24"/>
    </row>
    <row r="8" spans="1:28" s="2" customFormat="1" hidden="1">
      <c r="A8" s="46"/>
      <c r="B8" s="1" t="s">
        <v>113</v>
      </c>
      <c r="C8" s="1" t="s">
        <v>19</v>
      </c>
      <c r="D8" s="1">
        <v>2</v>
      </c>
      <c r="E8" s="7" t="s">
        <v>112</v>
      </c>
      <c r="F8" s="1">
        <v>288</v>
      </c>
      <c r="G8" s="1">
        <v>6</v>
      </c>
      <c r="H8" s="1" t="s">
        <v>20</v>
      </c>
      <c r="I8" s="14">
        <f>U8</f>
        <v>22.71379920970114</v>
      </c>
      <c r="J8" s="14">
        <f t="shared" ref="J8" si="1">V8</f>
        <v>23.912481128145252</v>
      </c>
      <c r="K8" s="14">
        <f t="shared" ref="K8" si="2">W8</f>
        <v>25.172320287326297</v>
      </c>
      <c r="L8" s="14">
        <f t="shared" ref="L8" si="3">X8</f>
        <v>26.493316687244299</v>
      </c>
      <c r="M8" s="14">
        <f t="shared" ref="M8" si="4">Y8</f>
        <v>27.887701776046629</v>
      </c>
      <c r="N8" s="14">
        <f t="shared" ref="N8" si="5">Z8</f>
        <v>29.355475553733289</v>
      </c>
      <c r="O8" s="14">
        <f t="shared" ref="O8" si="6">AA8</f>
        <v>30.896638020304295</v>
      </c>
      <c r="P8" s="7"/>
      <c r="R8" s="51" t="s">
        <v>81</v>
      </c>
      <c r="S8" s="55" t="s">
        <v>113</v>
      </c>
      <c r="T8" s="56" t="s">
        <v>112</v>
      </c>
      <c r="U8" s="57">
        <f>IF($R8="Y",VLOOKUP($S8,Rates2019,3,0)*PercInc2019,VLOOKUP($S8,Rates2019,3,0))</f>
        <v>22.71379920970114</v>
      </c>
      <c r="V8" s="57">
        <f>IF($R8="Y",VLOOKUP($S8,Rates2019,4,0)*PercInc2019,VLOOKUP($S8,Rates2019,4,0))</f>
        <v>23.912481128145252</v>
      </c>
      <c r="W8" s="57">
        <f>IF($R8="Y",VLOOKUP($S8,Rates2019,5,0)*PercInc2019,VLOOKUP($S8,Rates2019,5,0))</f>
        <v>25.172320287326297</v>
      </c>
      <c r="X8" s="57">
        <f>IF($R8="Y",VLOOKUP($S8,Rates2019,6,0)*PercInc2019,VLOOKUP($S8,Rates2019,6,0))</f>
        <v>26.493316687244299</v>
      </c>
      <c r="Y8" s="57">
        <f>IF($R8="Y",VLOOKUP($S8,Rates2019,7,0)*PercInc2019,VLOOKUP($S8,Rates2019,7,0))</f>
        <v>27.887701776046629</v>
      </c>
      <c r="Z8" s="57">
        <f>IF($R8="Y",VLOOKUP($S8,Rates2019,8,0)*PercInc2019,VLOOKUP($S8,Rates2019,8,0))</f>
        <v>29.355475553733289</v>
      </c>
      <c r="AA8" s="57">
        <f>IF($R8="Y",VLOOKUP($S8,Rates2019,9,0)*PercInc2019,VLOOKUP($S8,Rates2019,9,0))</f>
        <v>30.896638020304295</v>
      </c>
      <c r="AB8" s="24"/>
    </row>
    <row r="9" spans="1:28" s="7" customFormat="1" ht="16.149999999999999" thickBot="1">
      <c r="A9" s="16"/>
      <c r="B9" s="15"/>
      <c r="C9" s="15"/>
      <c r="D9" s="15"/>
      <c r="E9" s="16"/>
      <c r="F9" s="15"/>
      <c r="G9" s="15"/>
      <c r="H9" s="15"/>
      <c r="I9" s="15"/>
      <c r="J9" s="15"/>
      <c r="K9" s="15"/>
      <c r="L9" s="15"/>
      <c r="M9" s="16"/>
      <c r="N9" s="16"/>
      <c r="O9" s="16"/>
      <c r="R9" s="58"/>
      <c r="S9" s="58"/>
      <c r="T9" s="58"/>
      <c r="U9" s="59"/>
      <c r="V9" s="59"/>
      <c r="W9" s="59"/>
      <c r="X9" s="59"/>
      <c r="Y9" s="59"/>
      <c r="Z9" s="59"/>
      <c r="AA9" s="59"/>
      <c r="AB9" s="78"/>
    </row>
    <row r="10" spans="1:28" s="2" customFormat="1">
      <c r="B10" s="33" t="s">
        <v>56</v>
      </c>
      <c r="C10" s="4"/>
      <c r="D10" s="4"/>
      <c r="F10" s="4"/>
      <c r="G10" s="4"/>
      <c r="H10" s="4"/>
      <c r="I10" s="4"/>
      <c r="J10" s="4"/>
      <c r="K10" s="4"/>
      <c r="L10" s="4"/>
      <c r="P10" s="7"/>
      <c r="R10" s="51"/>
      <c r="S10" s="51"/>
      <c r="T10" s="51"/>
      <c r="U10" s="57"/>
      <c r="V10" s="57"/>
      <c r="W10" s="57"/>
      <c r="X10" s="57"/>
      <c r="Y10" s="57"/>
      <c r="Z10" s="57"/>
      <c r="AA10" s="57"/>
      <c r="AB10" s="24"/>
    </row>
    <row r="11" spans="1:28" s="2" customFormat="1">
      <c r="B11" s="2" t="str">
        <f>"In addition to their base rate of pay, employees shall be paid "&amp;TEXT(U11,"$0.000")&amp; " per hour for all hours worked on any shift that begins"</f>
        <v>In addition to their base rate of pay, employees shall be paid $0.488 per hour for all hours worked on any shift that begins</v>
      </c>
      <c r="C11" s="4"/>
      <c r="D11" s="4"/>
      <c r="F11" s="4"/>
      <c r="G11" s="4"/>
      <c r="I11" s="36"/>
      <c r="J11" s="3"/>
      <c r="K11" s="3"/>
      <c r="L11" s="3"/>
      <c r="M11" s="3"/>
      <c r="N11" s="3"/>
      <c r="P11" s="7"/>
      <c r="R11" s="51" t="s">
        <v>81</v>
      </c>
      <c r="S11" s="60" t="s">
        <v>82</v>
      </c>
      <c r="T11" s="60" t="s">
        <v>83</v>
      </c>
      <c r="U11" s="57">
        <f>IF($R11="Y",VLOOKUP($S11,Rates2019,3,0)*PercInc2019,VLOOKUP($S11,Rates2019,3,0))</f>
        <v>0.48773249999999996</v>
      </c>
      <c r="V11" s="57"/>
      <c r="W11" s="57"/>
      <c r="X11" s="61"/>
      <c r="Y11" s="57"/>
      <c r="Z11" s="57"/>
      <c r="AA11" s="57"/>
      <c r="AB11" s="24"/>
    </row>
    <row r="12" spans="1:28" s="2" customFormat="1">
      <c r="B12" s="2" t="s">
        <v>53</v>
      </c>
      <c r="P12" s="7"/>
      <c r="R12" s="51"/>
      <c r="S12" s="51"/>
      <c r="T12" s="51"/>
      <c r="U12" s="57"/>
      <c r="V12" s="57"/>
      <c r="W12" s="57"/>
      <c r="X12" s="57"/>
      <c r="Y12" s="57"/>
      <c r="Z12" s="57"/>
      <c r="AA12" s="57"/>
      <c r="AB12" s="24"/>
    </row>
    <row r="13" spans="1:28" s="2" customFormat="1" ht="9" customHeight="1">
      <c r="P13" s="7"/>
      <c r="R13" s="51"/>
      <c r="S13" s="51"/>
      <c r="T13" s="51"/>
      <c r="U13" s="57"/>
      <c r="V13" s="57"/>
      <c r="W13" s="57"/>
      <c r="X13" s="57"/>
      <c r="Y13" s="57"/>
      <c r="Z13" s="57"/>
      <c r="AA13" s="57"/>
      <c r="AB13" s="24"/>
    </row>
    <row r="14" spans="1:28" s="2" customFormat="1">
      <c r="B14" s="2" t="str">
        <f>"In addition to their base rate of pay, employees shall be paid "&amp;TEXT(U14,"$0.000")&amp;" per hour for all hours worked on any shift that begins"</f>
        <v>In addition to their base rate of pay, employees shall be paid $1.160 per hour for all hours worked on any shift that begins</v>
      </c>
      <c r="I14" s="36"/>
      <c r="P14" s="7"/>
      <c r="R14" s="51" t="s">
        <v>81</v>
      </c>
      <c r="S14" s="60" t="s">
        <v>84</v>
      </c>
      <c r="T14" s="60" t="s">
        <v>85</v>
      </c>
      <c r="U14" s="57">
        <f>IF($R14="Y",VLOOKUP($S14,Rates2019,3,0)*PercInc2019,VLOOKUP($S14,Rates2019,3,0))</f>
        <v>1.1595149999999999</v>
      </c>
      <c r="V14" s="57"/>
      <c r="W14" s="57"/>
      <c r="X14" s="57"/>
      <c r="Y14" s="57"/>
      <c r="Z14" s="57"/>
      <c r="AA14" s="57"/>
      <c r="AB14" s="24"/>
    </row>
    <row r="15" spans="1:28" s="2" customFormat="1">
      <c r="B15" s="2" t="s">
        <v>95</v>
      </c>
      <c r="C15" s="4"/>
      <c r="D15" s="4"/>
      <c r="F15" s="4"/>
      <c r="G15" s="4"/>
      <c r="H15" s="4"/>
      <c r="I15" s="4"/>
      <c r="J15" s="4"/>
      <c r="K15" s="4"/>
      <c r="L15" s="4"/>
      <c r="P15" s="7"/>
      <c r="R15" s="51"/>
      <c r="S15" s="51"/>
      <c r="T15" s="51"/>
      <c r="U15" s="57"/>
      <c r="V15" s="57"/>
      <c r="W15" s="57"/>
      <c r="X15" s="57"/>
      <c r="Y15" s="57"/>
      <c r="Z15" s="57"/>
      <c r="AA15" s="57"/>
      <c r="AB15" s="24"/>
    </row>
    <row r="16" spans="1:28" s="2" customFormat="1" ht="8.25" customHeight="1">
      <c r="C16" s="4"/>
      <c r="D16" s="4"/>
      <c r="F16" s="4"/>
      <c r="G16" s="4"/>
      <c r="H16" s="4"/>
      <c r="I16" s="4"/>
      <c r="J16" s="4"/>
      <c r="K16" s="4"/>
      <c r="L16" s="4"/>
      <c r="P16" s="7"/>
      <c r="R16" s="51"/>
      <c r="S16" s="51"/>
      <c r="T16" s="51"/>
      <c r="U16" s="57"/>
      <c r="V16" s="57"/>
      <c r="W16" s="57"/>
      <c r="X16" s="57"/>
      <c r="Y16" s="57"/>
      <c r="Z16" s="57"/>
      <c r="AA16" s="57"/>
      <c r="AB16" s="24"/>
    </row>
    <row r="17" spans="2:28" s="2" customFormat="1">
      <c r="B17" s="2" t="s">
        <v>24</v>
      </c>
      <c r="P17" s="7"/>
      <c r="R17" s="51"/>
      <c r="S17" s="51"/>
      <c r="T17" s="51"/>
      <c r="U17" s="57"/>
      <c r="V17" s="57"/>
      <c r="W17" s="57"/>
      <c r="X17" s="57"/>
      <c r="Y17" s="57"/>
      <c r="Z17" s="57"/>
      <c r="AA17" s="57"/>
      <c r="AB17" s="24"/>
    </row>
    <row r="18" spans="2:28" s="2" customFormat="1">
      <c r="B18" s="2" t="s">
        <v>25</v>
      </c>
      <c r="P18" s="7"/>
      <c r="R18" s="51"/>
      <c r="S18" s="51"/>
      <c r="T18" s="51"/>
      <c r="U18" s="57"/>
      <c r="V18" s="57"/>
      <c r="W18" s="57"/>
      <c r="X18" s="57"/>
      <c r="Y18" s="57"/>
      <c r="Z18" s="57"/>
      <c r="AA18" s="57"/>
      <c r="AB18" s="24"/>
    </row>
    <row r="19" spans="2:28" s="2" customFormat="1">
      <c r="B19" s="2" t="s">
        <v>26</v>
      </c>
      <c r="P19" s="7"/>
      <c r="R19" s="51"/>
      <c r="S19" s="51"/>
      <c r="T19" s="51"/>
      <c r="U19" s="57"/>
      <c r="V19" s="57"/>
      <c r="W19" s="57"/>
      <c r="X19" s="57"/>
      <c r="Y19" s="57"/>
      <c r="Z19" s="57"/>
      <c r="AA19" s="57"/>
      <c r="AB19" s="24"/>
    </row>
    <row r="20" spans="2:28" s="2" customFormat="1">
      <c r="B20" s="7" t="s">
        <v>27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51"/>
      <c r="S20" s="51"/>
      <c r="T20" s="51"/>
      <c r="U20" s="57"/>
      <c r="V20" s="57"/>
      <c r="W20" s="57"/>
      <c r="X20" s="57"/>
      <c r="Y20" s="57"/>
      <c r="Z20" s="57"/>
      <c r="AA20" s="57"/>
      <c r="AB20" s="24"/>
    </row>
    <row r="21" spans="2:28" s="2" customFormat="1" ht="8.25" customHeight="1">
      <c r="B21" s="7"/>
      <c r="C21" s="1"/>
      <c r="D21" s="1"/>
      <c r="E21" s="7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51"/>
      <c r="S21" s="51"/>
      <c r="T21" s="51"/>
      <c r="U21" s="57"/>
      <c r="V21" s="57"/>
      <c r="W21" s="57"/>
      <c r="X21" s="57"/>
      <c r="Y21" s="57"/>
      <c r="Z21" s="57"/>
      <c r="AA21" s="57"/>
      <c r="AB21" s="24"/>
    </row>
    <row r="22" spans="2:28" s="2" customFormat="1">
      <c r="B22" s="7" t="s">
        <v>59</v>
      </c>
      <c r="C22" s="1"/>
      <c r="D22" s="1"/>
      <c r="E22" s="7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51"/>
      <c r="S22" s="51"/>
      <c r="T22" s="51"/>
      <c r="U22" s="57"/>
      <c r="V22" s="57"/>
      <c r="W22" s="57"/>
      <c r="X22" s="57"/>
      <c r="Y22" s="57"/>
      <c r="Z22" s="57"/>
      <c r="AA22" s="57"/>
      <c r="AB22" s="24"/>
    </row>
    <row r="23" spans="2:28" s="2" customFormat="1" ht="8.25" customHeight="1">
      <c r="C23" s="1"/>
      <c r="D23" s="1"/>
      <c r="E23" s="7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51"/>
      <c r="S23" s="51"/>
      <c r="T23" s="51"/>
      <c r="U23" s="57"/>
      <c r="V23" s="57"/>
      <c r="W23" s="57"/>
      <c r="X23" s="57"/>
      <c r="Y23" s="57"/>
      <c r="Z23" s="57"/>
      <c r="AA23" s="57"/>
      <c r="AB23" s="24"/>
    </row>
    <row r="24" spans="2:28" s="2" customFormat="1">
      <c r="B24" s="7" t="s">
        <v>54</v>
      </c>
      <c r="C24" s="1"/>
      <c r="D24" s="1"/>
      <c r="E24" s="7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51"/>
      <c r="S24" s="51"/>
      <c r="T24" s="51"/>
      <c r="U24" s="57"/>
      <c r="V24" s="57"/>
      <c r="W24" s="57"/>
      <c r="X24" s="57"/>
      <c r="Y24" s="57"/>
      <c r="Z24" s="57"/>
      <c r="AA24" s="57"/>
      <c r="AB24" s="24"/>
    </row>
    <row r="25" spans="2:28" s="2" customFormat="1">
      <c r="B25" s="7"/>
      <c r="C25" s="1"/>
      <c r="D25" s="1"/>
      <c r="E25" s="7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51"/>
      <c r="S25" s="51"/>
      <c r="T25" s="51"/>
      <c r="U25" s="57"/>
      <c r="V25" s="57"/>
      <c r="W25" s="57"/>
      <c r="X25" s="57"/>
      <c r="Y25" s="57"/>
      <c r="Z25" s="57"/>
      <c r="AA25" s="57"/>
      <c r="AB25" s="24"/>
    </row>
    <row r="26" spans="2:28" s="2" customFormat="1">
      <c r="B26" s="19" t="s">
        <v>34</v>
      </c>
      <c r="C26" s="20"/>
      <c r="D26" s="20"/>
      <c r="E26" s="21"/>
      <c r="F26" s="20"/>
      <c r="G26" s="20"/>
      <c r="H26" s="20"/>
      <c r="I26" s="20"/>
      <c r="J26" s="20"/>
      <c r="K26" s="20"/>
      <c r="L26" s="20"/>
      <c r="M26" s="21"/>
      <c r="N26" s="21"/>
      <c r="O26" s="21"/>
      <c r="P26" s="7"/>
      <c r="R26" s="51"/>
      <c r="S26" s="51"/>
      <c r="T26" s="51"/>
      <c r="U26" s="57"/>
      <c r="V26" s="57"/>
      <c r="W26" s="57"/>
      <c r="X26" s="57"/>
      <c r="Y26" s="57"/>
      <c r="Z26" s="57"/>
      <c r="AA26" s="57"/>
      <c r="AB26" s="24"/>
    </row>
    <row r="27" spans="2:28" s="2" customFormat="1">
      <c r="B27" s="7" t="str">
        <f>"An annual certification premium of "&amp;TEXT(U27,"$0")&amp;" shall be payable to every Dispatcher holding an Emergency Police Dispatcher and Emergency"</f>
        <v>An annual certification premium of $1200 shall be payable to every Dispatcher holding an Emergency Police Dispatcher and Emergency</v>
      </c>
      <c r="C27" s="1"/>
      <c r="D27" s="1"/>
      <c r="E27" s="7"/>
      <c r="F27" s="1"/>
      <c r="G27" s="1"/>
      <c r="H27" s="1"/>
      <c r="I27" s="1"/>
      <c r="J27" s="1"/>
      <c r="K27" s="1"/>
      <c r="L27" s="1"/>
      <c r="M27" s="7"/>
      <c r="N27" s="7"/>
      <c r="O27" s="7"/>
      <c r="P27" s="7"/>
      <c r="R27" s="51" t="s">
        <v>19</v>
      </c>
      <c r="S27" s="51" t="s">
        <v>97</v>
      </c>
      <c r="T27" s="51" t="s">
        <v>90</v>
      </c>
      <c r="U27" s="62">
        <f>IF($R27="Y",VLOOKUP($S27,Rates2019,3,0)*PercInc2019,VLOOKUP($S27,Rates2019,3,0))</f>
        <v>1200</v>
      </c>
      <c r="V27" s="57"/>
      <c r="W27" s="57"/>
      <c r="X27" s="57"/>
      <c r="Y27" s="57"/>
      <c r="Z27" s="57"/>
      <c r="AA27" s="57"/>
      <c r="AB27" s="24"/>
    </row>
    <row r="28" spans="2:28" s="2" customFormat="1">
      <c r="B28" s="7" t="s">
        <v>41</v>
      </c>
      <c r="C28" s="1"/>
      <c r="D28" s="1"/>
      <c r="E28" s="7"/>
      <c r="F28" s="1"/>
      <c r="G28" s="1"/>
      <c r="H28" s="1"/>
      <c r="I28" s="1"/>
      <c r="J28" s="1"/>
      <c r="K28" s="1"/>
      <c r="L28" s="1"/>
      <c r="M28" s="7"/>
      <c r="N28" s="7"/>
      <c r="O28" s="7"/>
      <c r="P28" s="7"/>
      <c r="R28" s="51"/>
      <c r="S28" s="51"/>
      <c r="T28" s="51"/>
      <c r="U28" s="57"/>
      <c r="V28" s="57"/>
      <c r="W28" s="57"/>
      <c r="X28" s="57"/>
      <c r="Y28" s="57"/>
      <c r="Z28" s="57"/>
      <c r="AA28" s="57"/>
      <c r="AB28" s="24"/>
    </row>
    <row r="29" spans="2:28" s="2" customFormat="1">
      <c r="B29" s="22"/>
      <c r="C29" s="23"/>
      <c r="D29" s="23"/>
      <c r="E29" s="22"/>
      <c r="F29" s="23"/>
      <c r="G29" s="23"/>
      <c r="H29" s="23"/>
      <c r="I29" s="23"/>
      <c r="J29" s="23"/>
      <c r="K29" s="23"/>
      <c r="L29" s="23"/>
      <c r="M29" s="22"/>
      <c r="N29" s="22"/>
      <c r="O29" s="22"/>
      <c r="P29" s="7"/>
      <c r="R29" s="51"/>
      <c r="S29" s="51"/>
      <c r="T29" s="51"/>
      <c r="U29" s="57"/>
      <c r="V29" s="57"/>
      <c r="W29" s="57"/>
      <c r="X29" s="57"/>
      <c r="Y29" s="57"/>
      <c r="Z29" s="57"/>
      <c r="AA29" s="57"/>
      <c r="AB29" s="24"/>
    </row>
    <row r="30" spans="2:28" s="2" customFormat="1">
      <c r="B30" s="6" t="s">
        <v>28</v>
      </c>
      <c r="J30" s="4"/>
      <c r="K30" s="4"/>
      <c r="L30" s="4"/>
      <c r="P30" s="7"/>
      <c r="R30" s="51"/>
      <c r="S30" s="51"/>
      <c r="T30" s="51"/>
      <c r="U30" s="57"/>
      <c r="V30" s="57"/>
      <c r="W30" s="57"/>
      <c r="X30" s="57"/>
      <c r="Y30" s="57"/>
      <c r="Z30" s="57"/>
      <c r="AA30" s="57"/>
      <c r="AB30" s="24"/>
    </row>
    <row r="31" spans="2:28" s="2" customFormat="1">
      <c r="B31" s="2" t="s">
        <v>29</v>
      </c>
      <c r="J31" s="4"/>
      <c r="K31" s="4"/>
      <c r="L31" s="4"/>
      <c r="P31" s="7"/>
      <c r="R31" s="51"/>
      <c r="S31" s="70" t="s">
        <v>93</v>
      </c>
      <c r="T31" s="51"/>
      <c r="U31" s="57"/>
      <c r="V31" s="57"/>
      <c r="W31" s="57"/>
      <c r="X31" s="57"/>
      <c r="Y31" s="57"/>
      <c r="Z31" s="57"/>
      <c r="AA31" s="57"/>
      <c r="AB31" s="24"/>
    </row>
    <row r="32" spans="2:28" s="2" customFormat="1">
      <c r="C32" s="24">
        <f>U32</f>
        <v>0.40554607450804131</v>
      </c>
      <c r="D32" s="2" t="s">
        <v>30</v>
      </c>
      <c r="J32" s="4"/>
      <c r="K32" s="4"/>
      <c r="L32" s="4"/>
      <c r="P32" s="7"/>
      <c r="R32" s="51" t="s">
        <v>81</v>
      </c>
      <c r="S32" s="51" t="s">
        <v>86</v>
      </c>
      <c r="T32" s="51"/>
      <c r="U32" s="57">
        <f>IF($R32="Y",VLOOKUP($S32,Rates2019,3,0)*PercInc2019,VLOOKUP($S32,Rates2019,3,0))</f>
        <v>0.40554607450804131</v>
      </c>
      <c r="V32" s="57"/>
      <c r="W32" s="57"/>
      <c r="X32" s="57"/>
      <c r="Y32" s="57"/>
      <c r="Z32" s="57"/>
      <c r="AA32" s="57"/>
      <c r="AB32" s="24"/>
    </row>
    <row r="33" spans="2:28" s="2" customFormat="1">
      <c r="C33" s="24">
        <f t="shared" ref="C33:C35" si="7">U33</f>
        <v>0.52311093559405508</v>
      </c>
      <c r="D33" s="2" t="s">
        <v>31</v>
      </c>
      <c r="J33" s="4"/>
      <c r="K33" s="4"/>
      <c r="L33" s="4"/>
      <c r="P33" s="7"/>
      <c r="R33" s="51" t="s">
        <v>81</v>
      </c>
      <c r="S33" s="51" t="s">
        <v>87</v>
      </c>
      <c r="T33" s="51"/>
      <c r="U33" s="57">
        <f>IF($R33="Y",VLOOKUP($S33,Rates2019,3,0)*PercInc2019,VLOOKUP($S33,Rates2019,3,0))</f>
        <v>0.52311093559405508</v>
      </c>
      <c r="V33" s="57"/>
      <c r="W33" s="57"/>
      <c r="X33" s="57"/>
      <c r="Y33" s="57"/>
      <c r="Z33" s="57"/>
      <c r="AA33" s="57"/>
      <c r="AB33" s="24"/>
    </row>
    <row r="34" spans="2:28" s="2" customFormat="1">
      <c r="C34" s="24">
        <f t="shared" si="7"/>
        <v>0.64067579668006891</v>
      </c>
      <c r="D34" s="2" t="s">
        <v>32</v>
      </c>
      <c r="J34" s="4"/>
      <c r="K34" s="4"/>
      <c r="L34" s="4"/>
      <c r="P34" s="7"/>
      <c r="R34" s="51" t="s">
        <v>81</v>
      </c>
      <c r="S34" s="51" t="s">
        <v>88</v>
      </c>
      <c r="T34" s="51"/>
      <c r="U34" s="57">
        <f>IF($R34="Y",VLOOKUP($S34,Rates2019,3,0)*PercInc2019,VLOOKUP($S34,Rates2019,3,0))</f>
        <v>0.64067579668006891</v>
      </c>
      <c r="V34" s="57"/>
      <c r="W34" s="57"/>
      <c r="X34" s="57"/>
      <c r="Y34" s="57"/>
      <c r="Z34" s="57"/>
      <c r="AA34" s="57"/>
      <c r="AB34" s="24"/>
    </row>
    <row r="35" spans="2:28" s="2" customFormat="1">
      <c r="C35" s="24">
        <f t="shared" si="7"/>
        <v>0.75824065776608263</v>
      </c>
      <c r="D35" s="2" t="s">
        <v>33</v>
      </c>
      <c r="J35" s="4"/>
      <c r="K35" s="4"/>
      <c r="L35" s="4"/>
      <c r="P35" s="7"/>
      <c r="R35" s="51" t="s">
        <v>81</v>
      </c>
      <c r="S35" s="51" t="s">
        <v>89</v>
      </c>
      <c r="T35" s="51"/>
      <c r="U35" s="57">
        <f>IF($R35="Y",VLOOKUP($S35,Rates2019,3,0)*PercInc2019,VLOOKUP($S35,Rates2019,3,0))</f>
        <v>0.75824065776608263</v>
      </c>
      <c r="V35" s="57"/>
      <c r="W35" s="57"/>
      <c r="X35" s="57"/>
      <c r="Y35" s="57"/>
      <c r="Z35" s="57"/>
      <c r="AA35" s="57"/>
      <c r="AB35" s="24"/>
    </row>
    <row r="36" spans="2:28" s="2" customFormat="1">
      <c r="B36" s="23"/>
      <c r="C36" s="23"/>
      <c r="D36" s="23"/>
      <c r="E36" s="22"/>
      <c r="F36" s="23"/>
      <c r="G36" s="23"/>
      <c r="H36" s="23"/>
      <c r="I36" s="23"/>
      <c r="J36" s="23"/>
      <c r="K36" s="23"/>
      <c r="L36" s="23"/>
      <c r="M36" s="22"/>
      <c r="N36" s="22"/>
      <c r="O36" s="23"/>
      <c r="P36" s="1"/>
      <c r="R36" s="51"/>
      <c r="S36" s="51"/>
      <c r="T36" s="51"/>
      <c r="U36" s="57"/>
      <c r="V36" s="57"/>
      <c r="W36" s="57"/>
      <c r="X36" s="57"/>
      <c r="Y36" s="57"/>
      <c r="Z36" s="57"/>
      <c r="AA36" s="57"/>
      <c r="AB36" s="24"/>
    </row>
    <row r="37" spans="2:28" s="2" customFormat="1" ht="2.25" customHeight="1">
      <c r="B37" s="1"/>
      <c r="C37" s="1"/>
      <c r="D37" s="1"/>
      <c r="E37" s="7"/>
      <c r="F37" s="1"/>
      <c r="G37" s="1"/>
      <c r="H37" s="1"/>
      <c r="I37" s="1"/>
      <c r="J37" s="1"/>
      <c r="K37" s="1"/>
      <c r="L37" s="1"/>
      <c r="M37" s="7"/>
      <c r="N37" s="7"/>
      <c r="O37" s="1"/>
      <c r="P37" s="1"/>
      <c r="R37" s="51"/>
      <c r="S37" s="51"/>
      <c r="T37" s="51"/>
      <c r="U37" s="57"/>
      <c r="V37" s="57"/>
      <c r="W37" s="57"/>
      <c r="X37" s="57"/>
      <c r="Y37" s="57"/>
      <c r="Z37" s="57"/>
      <c r="AA37" s="57"/>
      <c r="AB37" s="24"/>
    </row>
    <row r="38" spans="2:28" s="26" customFormat="1">
      <c r="B38" s="25" t="s">
        <v>35</v>
      </c>
      <c r="F38" s="27"/>
      <c r="G38" s="27"/>
      <c r="H38" s="32"/>
      <c r="I38" s="27"/>
      <c r="J38" s="27"/>
      <c r="K38" s="27"/>
      <c r="L38" s="27"/>
      <c r="M38" s="27"/>
      <c r="N38" s="27"/>
      <c r="O38" s="27"/>
      <c r="P38" s="28"/>
      <c r="R38" s="63"/>
      <c r="S38" s="63"/>
      <c r="T38" s="63"/>
      <c r="U38" s="64"/>
      <c r="V38" s="64"/>
      <c r="W38" s="64"/>
      <c r="X38" s="64"/>
      <c r="Y38" s="64"/>
      <c r="Z38" s="64"/>
      <c r="AA38" s="64"/>
      <c r="AB38" s="49"/>
    </row>
    <row r="39" spans="2:28" s="2" customFormat="1">
      <c r="B39" s="37" t="s">
        <v>57</v>
      </c>
      <c r="C39" s="26"/>
      <c r="D39" s="26"/>
      <c r="E39" s="26"/>
      <c r="F39" s="27"/>
      <c r="G39" s="27"/>
      <c r="H39" s="27"/>
      <c r="I39" s="27"/>
      <c r="J39" s="27"/>
      <c r="K39" s="27"/>
      <c r="L39" s="27"/>
      <c r="M39" s="27"/>
      <c r="N39" s="27"/>
      <c r="O39" s="31"/>
      <c r="P39" s="28"/>
      <c r="R39" s="51"/>
      <c r="S39" s="51"/>
      <c r="T39" s="51"/>
      <c r="U39" s="57"/>
      <c r="V39" s="57"/>
      <c r="W39" s="57"/>
      <c r="X39" s="57"/>
      <c r="Y39" s="57"/>
      <c r="Z39" s="57"/>
      <c r="AA39" s="57"/>
      <c r="AB39" s="24"/>
    </row>
    <row r="40" spans="2:28" s="2" customFormat="1">
      <c r="B40" s="2" t="str">
        <f>"Dispatcher's hourly top-step rate of pay. Coaching/Training Premium = "&amp;TEXT(U40,"$0.00")&amp;" per hour assigned and coaching/training."</f>
        <v>Dispatcher's hourly top-step rate of pay. Coaching/Training Premium = $6.63 per hour assigned and coaching/training.</v>
      </c>
      <c r="G40" s="4"/>
      <c r="J40" s="34"/>
      <c r="K40" s="3"/>
      <c r="M40" s="4"/>
      <c r="N40" s="4"/>
      <c r="O40" s="4"/>
      <c r="P40" s="1"/>
      <c r="R40" s="51" t="s">
        <v>81</v>
      </c>
      <c r="S40" s="51" t="s">
        <v>91</v>
      </c>
      <c r="T40" s="51" t="s">
        <v>35</v>
      </c>
      <c r="U40" s="65">
        <f>AA7*0.2</f>
        <v>6.6294448958847703</v>
      </c>
      <c r="V40" s="51"/>
      <c r="W40" s="68" t="s">
        <v>96</v>
      </c>
      <c r="X40" s="57"/>
      <c r="Y40" s="57"/>
      <c r="Z40" s="57"/>
      <c r="AA40" s="57"/>
      <c r="AB40" s="24"/>
    </row>
    <row r="41" spans="2:28" s="2" customFormat="1">
      <c r="B41" s="3"/>
      <c r="F41" s="4"/>
      <c r="G41" s="4"/>
      <c r="H41" s="4"/>
      <c r="J41" s="32"/>
      <c r="K41" s="3"/>
      <c r="L41" s="4"/>
      <c r="M41" s="4"/>
      <c r="N41" s="4"/>
      <c r="O41" s="4"/>
      <c r="P41" s="1"/>
      <c r="R41" s="51"/>
      <c r="S41" s="51"/>
      <c r="T41" s="51"/>
      <c r="U41" s="57"/>
      <c r="V41" s="57"/>
      <c r="W41" s="57"/>
      <c r="X41" s="57"/>
      <c r="Y41" s="57"/>
      <c r="Z41" s="57"/>
      <c r="AA41" s="57"/>
      <c r="AB41" s="24"/>
    </row>
    <row r="42" spans="2:28" s="2" customFormat="1">
      <c r="B42" s="25" t="s">
        <v>64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1"/>
      <c r="R42" s="51"/>
      <c r="S42" s="51"/>
      <c r="T42" s="51"/>
      <c r="U42" s="57"/>
      <c r="V42" s="57"/>
      <c r="W42" s="57"/>
      <c r="X42" s="57"/>
      <c r="Y42" s="57"/>
      <c r="Z42" s="57"/>
      <c r="AA42" s="57"/>
      <c r="AB42" s="24"/>
    </row>
    <row r="43" spans="2:28" s="2" customFormat="1">
      <c r="B43" s="40" t="s">
        <v>62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1"/>
      <c r="R43" s="51"/>
      <c r="S43" s="51"/>
      <c r="T43" s="51"/>
      <c r="U43" s="57"/>
      <c r="V43" s="57"/>
      <c r="W43" s="57"/>
      <c r="X43" s="57"/>
      <c r="Y43" s="57"/>
      <c r="Z43" s="57"/>
      <c r="AA43" s="57"/>
      <c r="AB43" s="24"/>
    </row>
    <row r="44" spans="2:28" s="2" customFormat="1">
      <c r="B44" s="2" t="s">
        <v>63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1"/>
      <c r="R44" s="51"/>
      <c r="S44" s="51"/>
      <c r="T44" s="51"/>
      <c r="U44" s="57"/>
      <c r="V44" s="57"/>
      <c r="W44" s="57"/>
      <c r="X44" s="57"/>
      <c r="Y44" s="57"/>
      <c r="Z44" s="57"/>
      <c r="AA44" s="57"/>
      <c r="AB44" s="24"/>
    </row>
    <row r="45" spans="2:28" s="2" customFormat="1">
      <c r="F45" s="39" t="s">
        <v>60</v>
      </c>
      <c r="G45" s="9"/>
      <c r="I45" s="9"/>
      <c r="J45" s="9" t="s">
        <v>71</v>
      </c>
      <c r="K45" s="9" t="s">
        <v>72</v>
      </c>
      <c r="L45" s="9" t="s">
        <v>73</v>
      </c>
      <c r="M45" s="9" t="s">
        <v>74</v>
      </c>
      <c r="N45" s="9" t="s">
        <v>75</v>
      </c>
      <c r="O45" s="9" t="s">
        <v>76</v>
      </c>
      <c r="P45" s="9" t="s">
        <v>77</v>
      </c>
      <c r="R45" s="51"/>
      <c r="S45" s="66"/>
      <c r="T45" s="66"/>
      <c r="U45" s="66"/>
      <c r="V45" s="61"/>
      <c r="W45" s="69" t="s">
        <v>98</v>
      </c>
      <c r="X45" s="66"/>
      <c r="Y45" s="66"/>
      <c r="Z45" s="51"/>
      <c r="AA45" s="51"/>
      <c r="AB45" s="24"/>
    </row>
    <row r="46" spans="2:28">
      <c r="H46" s="43" t="s">
        <v>61</v>
      </c>
      <c r="J46" s="41">
        <f>HLOOKUP(J45,$I$6:$O$7,2)*1.5</f>
        <v>36.565914236619037</v>
      </c>
      <c r="K46" s="41">
        <f>HLOOKUP(K45,$I$6:$O$7,2)*1.5</f>
        <v>38.474020147611697</v>
      </c>
      <c r="L46" s="41">
        <f>HLOOKUP(L45,$I$6:$O$7,2)*1.5</f>
        <v>40.492209091930867</v>
      </c>
      <c r="M46" s="41">
        <f t="shared" ref="M46:P46" si="8">HLOOKUP(M45,$I$6:$O$7,2)*1.5</f>
        <v>42.620481069576527</v>
      </c>
      <c r="N46" s="41">
        <f t="shared" si="8"/>
        <v>44.877183252769768</v>
      </c>
      <c r="O46" s="41">
        <f t="shared" si="8"/>
        <v>47.243968469289527</v>
      </c>
      <c r="P46" s="41">
        <f t="shared" si="8"/>
        <v>49.720836719135775</v>
      </c>
      <c r="S46" s="67"/>
      <c r="T46" s="67"/>
      <c r="U46" s="67"/>
      <c r="V46" s="67"/>
      <c r="W46" s="67"/>
      <c r="X46" s="67"/>
      <c r="Y46" s="67"/>
    </row>
  </sheetData>
  <mergeCells count="1">
    <mergeCell ref="B1:O1"/>
  </mergeCells>
  <phoneticPr fontId="12" type="noConversion"/>
  <pageMargins left="0.25" right="0.25" top="0.5" bottom="0.25" header="0.5" footer="0.5"/>
  <pageSetup scale="86" orientation="landscape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561D-36D0-4467-8DF6-1A3CC2F17D05}">
  <sheetPr>
    <pageSetUpPr fitToPage="1"/>
  </sheetPr>
  <dimension ref="A1:AB41"/>
  <sheetViews>
    <sheetView showGridLines="0" topLeftCell="B1" workbookViewId="0">
      <selection activeCell="K29" sqref="K29"/>
    </sheetView>
  </sheetViews>
  <sheetFormatPr defaultColWidth="9.1328125" defaultRowHeight="15.75"/>
  <cols>
    <col min="1" max="1" width="6.3984375" style="29" hidden="1" customWidth="1"/>
    <col min="2" max="2" width="8.59765625" style="29" customWidth="1"/>
    <col min="3" max="3" width="7.265625" style="29" bestFit="1" customWidth="1"/>
    <col min="4" max="4" width="5.86328125" style="29" customWidth="1"/>
    <col min="5" max="5" width="18.59765625" style="29" bestFit="1" customWidth="1"/>
    <col min="6" max="6" width="4.3984375" style="29" bestFit="1" customWidth="1"/>
    <col min="7" max="7" width="7.86328125" style="29" customWidth="1"/>
    <col min="8" max="8" width="9.1328125" style="29" customWidth="1"/>
    <col min="9" max="9" width="11.59765625" style="29" customWidth="1"/>
    <col min="10" max="15" width="9.265625" style="29" bestFit="1" customWidth="1"/>
    <col min="16" max="17" width="9.1328125" style="29"/>
    <col min="18" max="18" width="12.265625" style="51" hidden="1" customWidth="1"/>
    <col min="19" max="19" width="10.59765625" style="51" hidden="1" customWidth="1"/>
    <col min="20" max="20" width="27.59765625" style="51" hidden="1" customWidth="1"/>
    <col min="21" max="22" width="8.3984375" style="57" hidden="1" customWidth="1"/>
    <col min="23" max="23" width="23.73046875" style="57" hidden="1" customWidth="1"/>
    <col min="24" max="27" width="8.3984375" style="57" hidden="1" customWidth="1"/>
    <col min="28" max="28" width="9.1328125" style="50"/>
    <col min="29" max="16384" width="9.1328125" style="29"/>
  </cols>
  <sheetData>
    <row r="1" spans="1:28" s="2" customFormat="1"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51" t="s">
        <v>100</v>
      </c>
      <c r="S1" s="75">
        <v>1.01</v>
      </c>
      <c r="T1" s="51"/>
      <c r="U1" s="57"/>
      <c r="V1" s="57"/>
      <c r="W1" s="57"/>
      <c r="X1" s="57"/>
      <c r="Y1" s="57"/>
      <c r="Z1" s="57"/>
      <c r="AA1" s="57"/>
      <c r="AB1" s="24"/>
    </row>
    <row r="2" spans="1:28" s="2" customFormat="1" ht="8.25" customHeight="1">
      <c r="D2" s="3"/>
      <c r="E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51"/>
      <c r="S2" s="51"/>
      <c r="T2" s="51"/>
      <c r="U2" s="57"/>
      <c r="V2" s="57"/>
      <c r="W2" s="57"/>
      <c r="X2" s="57"/>
      <c r="Y2" s="57"/>
      <c r="Z2" s="57"/>
      <c r="AA2" s="57"/>
      <c r="AB2" s="24"/>
    </row>
    <row r="3" spans="1:28" s="2" customFormat="1">
      <c r="B3" s="6" t="s">
        <v>99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51"/>
      <c r="S3" s="51"/>
      <c r="T3" s="51"/>
      <c r="U3" s="57"/>
      <c r="V3" s="57"/>
      <c r="W3" s="57"/>
      <c r="X3" s="57"/>
      <c r="Y3" s="57"/>
      <c r="Z3" s="57"/>
      <c r="AA3" s="57"/>
      <c r="AB3" s="24"/>
    </row>
    <row r="4" spans="1:28" s="2" customFormat="1">
      <c r="B4" s="2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51"/>
      <c r="S4" s="51"/>
      <c r="T4" s="51"/>
      <c r="U4" s="57"/>
      <c r="V4" s="57"/>
      <c r="W4" s="57"/>
      <c r="X4" s="57"/>
      <c r="Y4" s="57"/>
      <c r="Z4" s="57"/>
      <c r="AA4" s="57"/>
      <c r="AB4" s="24"/>
    </row>
    <row r="5" spans="1:28" s="2" customFormat="1">
      <c r="B5" s="71"/>
      <c r="C5" s="3"/>
      <c r="D5" s="4"/>
      <c r="E5" s="71"/>
      <c r="F5" s="71"/>
      <c r="G5" s="9"/>
      <c r="H5" s="9"/>
      <c r="I5" s="10"/>
      <c r="J5" s="9"/>
      <c r="K5" s="9"/>
      <c r="L5" s="9"/>
      <c r="M5" s="9"/>
      <c r="N5" s="9"/>
      <c r="O5" s="4"/>
      <c r="P5" s="7"/>
      <c r="R5" s="51"/>
      <c r="S5" s="51"/>
      <c r="T5" s="51"/>
      <c r="U5" s="57"/>
      <c r="V5" s="57"/>
      <c r="W5" s="57"/>
      <c r="X5" s="57"/>
      <c r="Y5" s="57"/>
      <c r="Z5" s="57"/>
      <c r="AA5" s="57"/>
      <c r="AB5" s="24"/>
    </row>
    <row r="6" spans="1:28" s="2" customFormat="1" ht="31.5" customHeight="1">
      <c r="A6" s="47" t="s">
        <v>68</v>
      </c>
      <c r="B6" s="45" t="s">
        <v>78</v>
      </c>
      <c r="C6" s="12" t="s">
        <v>12</v>
      </c>
      <c r="D6" s="12" t="s">
        <v>13</v>
      </c>
      <c r="E6" s="11" t="s">
        <v>14</v>
      </c>
      <c r="F6" s="12" t="s">
        <v>15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51" t="s">
        <v>80</v>
      </c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  <c r="AB6" s="24"/>
    </row>
    <row r="7" spans="1:28" s="2" customFormat="1">
      <c r="A7" s="46" t="s">
        <v>69</v>
      </c>
      <c r="B7" s="3" t="s">
        <v>21</v>
      </c>
      <c r="C7" s="4" t="s">
        <v>19</v>
      </c>
      <c r="D7" s="4">
        <v>2</v>
      </c>
      <c r="E7" s="7" t="s">
        <v>22</v>
      </c>
      <c r="F7" s="4">
        <v>336</v>
      </c>
      <c r="G7" s="4">
        <v>7</v>
      </c>
      <c r="H7" s="4" t="s">
        <v>20</v>
      </c>
      <c r="I7" s="14">
        <f>U7</f>
        <v>24.620999999999999</v>
      </c>
      <c r="J7" s="14">
        <f t="shared" ref="J7:O7" si="0">V7</f>
        <v>25.905999999999999</v>
      </c>
      <c r="K7" s="14">
        <f t="shared" si="0"/>
        <v>27.265000000000001</v>
      </c>
      <c r="L7" s="14">
        <f t="shared" si="0"/>
        <v>28.698</v>
      </c>
      <c r="M7" s="14">
        <f t="shared" si="0"/>
        <v>30.216999999999999</v>
      </c>
      <c r="N7" s="14">
        <f t="shared" si="0"/>
        <v>31.811</v>
      </c>
      <c r="O7" s="14">
        <f t="shared" si="0"/>
        <v>33.478999999999999</v>
      </c>
      <c r="P7" s="7"/>
      <c r="R7" s="51" t="s">
        <v>81</v>
      </c>
      <c r="S7" s="55" t="s">
        <v>21</v>
      </c>
      <c r="T7" s="56" t="s">
        <v>22</v>
      </c>
      <c r="U7" s="57">
        <f>ROUND(IF($R7="Y",VLOOKUP($S7,Rates2020,3,0)*PercInc2020,VLOOKUP($S7,Rates2020,3,0)),3)</f>
        <v>24.620999999999999</v>
      </c>
      <c r="V7" s="57">
        <f>ROUND(IF($R7="Y",VLOOKUP($S7,Rates2020,4,0)*PercInc2020,VLOOKUP($S7,Rates2020,4,0)),3)</f>
        <v>25.905999999999999</v>
      </c>
      <c r="W7" s="66">
        <f>ROUND(IF($R7="Y",VLOOKUP($S7,Rates2020,5,0)*PercInc2020,VLOOKUP($S7,Rates2020,5,0)),3)</f>
        <v>27.265000000000001</v>
      </c>
      <c r="X7" s="57">
        <f>ROUND(IF($R7="Y",VLOOKUP($S7,Rates2020,6,0)*PercInc2020,VLOOKUP($S7,Rates2020,6,0)),3)</f>
        <v>28.698</v>
      </c>
      <c r="Y7" s="57">
        <f>ROUND(IF($R7="Y",VLOOKUP($S7,Rates2020,7,0)*PercInc2020,VLOOKUP($S7,Rates2020,7,0)),3)</f>
        <v>30.216999999999999</v>
      </c>
      <c r="Z7" s="57">
        <f>ROUND(IF($R7="Y",VLOOKUP($S7,Rates2020,8,0)*PercInc2020,VLOOKUP($S7,Rates2020,8,0)),3)</f>
        <v>31.811</v>
      </c>
      <c r="AA7" s="57">
        <f>ROUND(IF($R7="Y",VLOOKUP($S7,Rates2020,9,0)*PercInc2020,VLOOKUP($S7,Rates2020,9,0)),3)</f>
        <v>33.478999999999999</v>
      </c>
      <c r="AB7" s="24"/>
    </row>
    <row r="8" spans="1:28" s="2" customFormat="1" hidden="1">
      <c r="A8" s="46"/>
      <c r="B8" s="1" t="s">
        <v>113</v>
      </c>
      <c r="C8" s="1" t="s">
        <v>19</v>
      </c>
      <c r="D8" s="1">
        <v>2</v>
      </c>
      <c r="E8" s="7" t="s">
        <v>112</v>
      </c>
      <c r="F8" s="1">
        <v>288</v>
      </c>
      <c r="G8" s="1">
        <v>6</v>
      </c>
      <c r="H8" s="1" t="s">
        <v>20</v>
      </c>
      <c r="I8" s="14">
        <f>U8</f>
        <v>22.940999999999999</v>
      </c>
      <c r="J8" s="14">
        <f t="shared" ref="J8" si="1">V8</f>
        <v>24.152000000000001</v>
      </c>
      <c r="K8" s="14">
        <f t="shared" ref="K8" si="2">W8</f>
        <v>25.423999999999999</v>
      </c>
      <c r="L8" s="14">
        <f t="shared" ref="L8" si="3">X8</f>
        <v>26.757999999999999</v>
      </c>
      <c r="M8" s="14">
        <f t="shared" ref="M8" si="4">Y8</f>
        <v>28.167000000000002</v>
      </c>
      <c r="N8" s="14">
        <f t="shared" ref="N8" si="5">Z8</f>
        <v>29.649000000000001</v>
      </c>
      <c r="O8" s="14">
        <f t="shared" ref="O8" si="6">AA8</f>
        <v>31.206</v>
      </c>
      <c r="P8" s="7"/>
      <c r="R8" s="51" t="s">
        <v>81</v>
      </c>
      <c r="S8" s="55" t="s">
        <v>113</v>
      </c>
      <c r="T8" s="56" t="s">
        <v>112</v>
      </c>
      <c r="U8" s="57">
        <f>ROUND(IF($R8="Y",VLOOKUP($S8,Rates2020,3,0)*PercInc2020,VLOOKUP($S8,Rates2020,3,0)),3)</f>
        <v>22.940999999999999</v>
      </c>
      <c r="V8" s="57">
        <f>ROUND(IF($R8="Y",VLOOKUP($S8,Rates2020,4,0)*PercInc2020,VLOOKUP($S8,Rates2020,4,0)),3)</f>
        <v>24.152000000000001</v>
      </c>
      <c r="W8" s="66">
        <f>ROUND(IF($R8="Y",VLOOKUP($S8,Rates2020,5,0)*PercInc2020,VLOOKUP($S8,Rates2020,5,0)),3)</f>
        <v>25.423999999999999</v>
      </c>
      <c r="X8" s="57">
        <f>ROUND(IF($R8="Y",VLOOKUP($S8,Rates2020,6,0)*PercInc2020,VLOOKUP($S8,Rates2020,6,0)),3)</f>
        <v>26.757999999999999</v>
      </c>
      <c r="Y8" s="57">
        <f>ROUND(IF($R8="Y",VLOOKUP($S8,Rates2020,7,0)*PercInc2020,VLOOKUP($S8,Rates2020,7,0)),3)</f>
        <v>28.167000000000002</v>
      </c>
      <c r="Z8" s="57">
        <f>ROUND(IF($R8="Y",VLOOKUP($S8,Rates2020,8,0)*PercInc2020,VLOOKUP($S8,Rates2020,8,0)),3)</f>
        <v>29.649000000000001</v>
      </c>
      <c r="AA8" s="57">
        <f>ROUND(IF($R8="Y",VLOOKUP($S8,Rates2020,9,0)*PercInc2020,VLOOKUP($S8,Rates2020,9,0)),3)</f>
        <v>31.206</v>
      </c>
      <c r="AB8" s="24"/>
    </row>
    <row r="9" spans="1:28" s="7" customFormat="1" ht="16.149999999999999" thickBot="1">
      <c r="A9" s="16"/>
      <c r="B9" s="15"/>
      <c r="C9" s="15"/>
      <c r="D9" s="15"/>
      <c r="E9" s="16"/>
      <c r="F9" s="15"/>
      <c r="G9" s="15"/>
      <c r="H9" s="15"/>
      <c r="I9" s="15"/>
      <c r="J9" s="15"/>
      <c r="K9" s="15"/>
      <c r="L9" s="15"/>
      <c r="M9" s="16"/>
      <c r="N9" s="16"/>
      <c r="O9" s="16"/>
      <c r="R9" s="58"/>
      <c r="S9" s="58"/>
      <c r="T9" s="58"/>
      <c r="U9" s="59"/>
      <c r="V9" s="59"/>
      <c r="W9" s="59"/>
      <c r="X9" s="59"/>
      <c r="Y9" s="59"/>
      <c r="Z9" s="59"/>
      <c r="AA9" s="59"/>
      <c r="AB9" s="78"/>
    </row>
    <row r="10" spans="1:28" s="2" customFormat="1">
      <c r="B10" s="71" t="s">
        <v>56</v>
      </c>
      <c r="C10" s="4"/>
      <c r="D10" s="4"/>
      <c r="F10" s="4"/>
      <c r="G10" s="4"/>
      <c r="H10" s="4"/>
      <c r="I10" s="4"/>
      <c r="J10" s="4"/>
      <c r="K10" s="4"/>
      <c r="L10" s="4"/>
      <c r="P10" s="7"/>
      <c r="R10" s="51"/>
      <c r="S10" s="51"/>
      <c r="T10" s="51"/>
      <c r="U10" s="57"/>
      <c r="V10" s="57"/>
      <c r="W10" s="57"/>
      <c r="X10" s="57"/>
      <c r="Y10" s="57"/>
      <c r="Z10" s="57"/>
      <c r="AA10" s="57"/>
      <c r="AB10" s="24"/>
    </row>
    <row r="11" spans="1:28" s="2" customFormat="1">
      <c r="B11" s="2" t="str">
        <f>"In addition to their base rate of pay, employees shall be paid "&amp;TEXT(U11,"$0.000")&amp; " per hour for all hours worked on any shift that begins"</f>
        <v>In addition to their base rate of pay, employees shall be paid $0.493 per hour for all hours worked on any shift that begins</v>
      </c>
      <c r="C11" s="4"/>
      <c r="D11" s="4"/>
      <c r="F11" s="4"/>
      <c r="G11" s="4"/>
      <c r="I11" s="36"/>
      <c r="J11" s="3"/>
      <c r="K11" s="3"/>
      <c r="L11" s="3"/>
      <c r="M11" s="3"/>
      <c r="N11" s="3"/>
      <c r="P11" s="7"/>
      <c r="R11" s="51" t="s">
        <v>81</v>
      </c>
      <c r="S11" s="60" t="s">
        <v>82</v>
      </c>
      <c r="T11" s="60" t="s">
        <v>83</v>
      </c>
      <c r="U11" s="57">
        <f>ROUND(IF($R11="Y",VLOOKUP($S11,Rates2020,3,0)*PercInc2020,VLOOKUP($S11,Rates2020,3,0)),3)</f>
        <v>0.49299999999999999</v>
      </c>
      <c r="V11" s="57"/>
      <c r="W11" s="57"/>
      <c r="X11" s="61"/>
      <c r="Y11" s="57"/>
      <c r="Z11" s="57"/>
      <c r="AA11" s="57"/>
      <c r="AB11" s="24"/>
    </row>
    <row r="12" spans="1:28" s="2" customFormat="1">
      <c r="B12" s="2" t="s">
        <v>53</v>
      </c>
      <c r="P12" s="7"/>
      <c r="R12" s="51"/>
      <c r="S12" s="51"/>
      <c r="T12" s="51"/>
      <c r="U12" s="57"/>
      <c r="V12" s="57"/>
      <c r="W12" s="57"/>
      <c r="X12" s="57"/>
      <c r="Y12" s="57"/>
      <c r="Z12" s="57"/>
      <c r="AA12" s="57"/>
      <c r="AB12" s="24"/>
    </row>
    <row r="13" spans="1:28" s="2" customFormat="1" ht="9" customHeight="1">
      <c r="P13" s="7"/>
      <c r="R13" s="51"/>
      <c r="S13" s="51"/>
      <c r="T13" s="51"/>
      <c r="U13" s="57"/>
      <c r="V13" s="57"/>
      <c r="W13" s="57"/>
      <c r="X13" s="57"/>
      <c r="Y13" s="57"/>
      <c r="Z13" s="57"/>
      <c r="AA13" s="57"/>
      <c r="AB13" s="24"/>
    </row>
    <row r="14" spans="1:28" s="2" customFormat="1">
      <c r="B14" s="2" t="str">
        <f>"In addition to their base rate of pay, employees shall be paid "&amp;TEXT(U14,"$0.000")&amp;" per hour for all hours worked on any shift that begins"</f>
        <v>In addition to their base rate of pay, employees shall be paid $1.171 per hour for all hours worked on any shift that begins</v>
      </c>
      <c r="I14" s="36"/>
      <c r="P14" s="7"/>
      <c r="R14" s="51" t="s">
        <v>81</v>
      </c>
      <c r="S14" s="60" t="s">
        <v>84</v>
      </c>
      <c r="T14" s="60" t="s">
        <v>85</v>
      </c>
      <c r="U14" s="57">
        <f>ROUND(IF($R14="Y",VLOOKUP($S14,Rates2020,3,0)*PercInc2020,VLOOKUP($S14,Rates2020,3,0)),3)</f>
        <v>1.171</v>
      </c>
      <c r="V14" s="57"/>
      <c r="W14" s="57"/>
      <c r="X14" s="57"/>
      <c r="Y14" s="57"/>
      <c r="Z14" s="57"/>
      <c r="AA14" s="57"/>
      <c r="AB14" s="24"/>
    </row>
    <row r="15" spans="1:28" s="2" customFormat="1">
      <c r="B15" s="2" t="s">
        <v>95</v>
      </c>
      <c r="C15" s="4"/>
      <c r="D15" s="4"/>
      <c r="F15" s="4"/>
      <c r="G15" s="4"/>
      <c r="H15" s="4"/>
      <c r="I15" s="4"/>
      <c r="J15" s="4"/>
      <c r="K15" s="4"/>
      <c r="L15" s="4"/>
      <c r="P15" s="7"/>
      <c r="R15" s="51"/>
      <c r="S15" s="51"/>
      <c r="T15" s="51"/>
      <c r="U15" s="57"/>
      <c r="V15" s="57"/>
      <c r="W15" s="57"/>
      <c r="X15" s="57"/>
      <c r="Y15" s="57"/>
      <c r="Z15" s="57"/>
      <c r="AA15" s="57"/>
      <c r="AB15" s="24"/>
    </row>
    <row r="16" spans="1:28" s="2" customFormat="1" ht="8.25" customHeight="1">
      <c r="C16" s="4"/>
      <c r="D16" s="4"/>
      <c r="F16" s="4"/>
      <c r="G16" s="4"/>
      <c r="H16" s="4"/>
      <c r="I16" s="4"/>
      <c r="J16" s="4"/>
      <c r="K16" s="4"/>
      <c r="L16" s="4"/>
      <c r="P16" s="7"/>
      <c r="R16" s="51"/>
      <c r="S16" s="51"/>
      <c r="T16" s="51"/>
      <c r="U16" s="57"/>
      <c r="V16" s="57"/>
      <c r="W16" s="57"/>
      <c r="X16" s="57"/>
      <c r="Y16" s="57"/>
      <c r="Z16" s="57"/>
      <c r="AA16" s="57"/>
      <c r="AB16" s="24"/>
    </row>
    <row r="17" spans="2:28" s="2" customFormat="1">
      <c r="B17" s="2" t="s">
        <v>24</v>
      </c>
      <c r="P17" s="7"/>
      <c r="R17" s="51"/>
      <c r="S17" s="51"/>
      <c r="T17" s="51"/>
      <c r="U17" s="57"/>
      <c r="V17" s="57"/>
      <c r="W17" s="57"/>
      <c r="X17" s="57"/>
      <c r="Y17" s="57"/>
      <c r="Z17" s="57"/>
      <c r="AA17" s="57"/>
      <c r="AB17" s="24"/>
    </row>
    <row r="18" spans="2:28" s="2" customFormat="1">
      <c r="B18" s="2" t="s">
        <v>25</v>
      </c>
      <c r="P18" s="7"/>
      <c r="R18" s="51"/>
      <c r="S18" s="51"/>
      <c r="T18" s="51"/>
      <c r="U18" s="57"/>
      <c r="V18" s="57"/>
      <c r="W18" s="57"/>
      <c r="X18" s="57"/>
      <c r="Y18" s="57"/>
      <c r="Z18" s="57"/>
      <c r="AA18" s="57"/>
      <c r="AB18" s="24"/>
    </row>
    <row r="19" spans="2:28" s="2" customFormat="1">
      <c r="B19" s="2" t="s">
        <v>26</v>
      </c>
      <c r="P19" s="7"/>
      <c r="R19" s="51"/>
      <c r="S19" s="51"/>
      <c r="T19" s="51"/>
      <c r="U19" s="57"/>
      <c r="V19" s="57"/>
      <c r="W19" s="57"/>
      <c r="X19" s="57"/>
      <c r="Y19" s="57"/>
      <c r="Z19" s="57"/>
      <c r="AA19" s="57"/>
      <c r="AB19" s="24"/>
    </row>
    <row r="20" spans="2:28" s="2" customFormat="1">
      <c r="B20" s="7" t="s">
        <v>27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51"/>
      <c r="S20" s="51"/>
      <c r="T20" s="51"/>
      <c r="U20" s="57"/>
      <c r="V20" s="57"/>
      <c r="W20" s="57"/>
      <c r="X20" s="57"/>
      <c r="Y20" s="57"/>
      <c r="Z20" s="57"/>
      <c r="AA20" s="57"/>
      <c r="AB20" s="24"/>
    </row>
    <row r="21" spans="2:28" s="2" customFormat="1" ht="8.25" customHeight="1">
      <c r="B21" s="7"/>
      <c r="C21" s="1"/>
      <c r="D21" s="1"/>
      <c r="E21" s="7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51"/>
      <c r="S21" s="51"/>
      <c r="T21" s="51"/>
      <c r="U21" s="57"/>
      <c r="V21" s="57"/>
      <c r="W21" s="57"/>
      <c r="X21" s="57"/>
      <c r="Y21" s="57"/>
      <c r="Z21" s="57"/>
      <c r="AA21" s="57"/>
      <c r="AB21" s="24"/>
    </row>
    <row r="22" spans="2:28" s="2" customFormat="1">
      <c r="B22" s="7" t="s">
        <v>59</v>
      </c>
      <c r="C22" s="1"/>
      <c r="D22" s="1"/>
      <c r="E22" s="7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51"/>
      <c r="S22" s="51"/>
      <c r="T22" s="51"/>
      <c r="U22" s="57"/>
      <c r="V22" s="57"/>
      <c r="W22" s="57"/>
      <c r="X22" s="57"/>
      <c r="Y22" s="57"/>
      <c r="Z22" s="57"/>
      <c r="AA22" s="57"/>
      <c r="AB22" s="24"/>
    </row>
    <row r="23" spans="2:28" s="2" customFormat="1" ht="8.25" customHeight="1">
      <c r="C23" s="1"/>
      <c r="D23" s="1"/>
      <c r="E23" s="7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51"/>
      <c r="S23" s="51"/>
      <c r="T23" s="51"/>
      <c r="U23" s="57"/>
      <c r="V23" s="57"/>
      <c r="W23" s="57"/>
      <c r="X23" s="57"/>
      <c r="Y23" s="57"/>
      <c r="Z23" s="57"/>
      <c r="AA23" s="57"/>
      <c r="AB23" s="24"/>
    </row>
    <row r="24" spans="2:28" s="2" customFormat="1">
      <c r="B24" s="7" t="s">
        <v>54</v>
      </c>
      <c r="C24" s="1"/>
      <c r="D24" s="1"/>
      <c r="E24" s="7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51"/>
      <c r="S24" s="51"/>
      <c r="T24" s="51"/>
      <c r="U24" s="57"/>
      <c r="V24" s="57"/>
      <c r="W24" s="57"/>
      <c r="X24" s="57"/>
      <c r="Y24" s="57"/>
      <c r="Z24" s="57"/>
      <c r="AA24" s="57"/>
      <c r="AB24" s="24"/>
    </row>
    <row r="25" spans="2:28" s="2" customFormat="1">
      <c r="B25" s="7"/>
      <c r="C25" s="1"/>
      <c r="D25" s="1"/>
      <c r="E25" s="7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51"/>
      <c r="S25" s="51"/>
      <c r="T25" s="51"/>
      <c r="U25" s="57"/>
      <c r="V25" s="57"/>
      <c r="W25" s="57"/>
      <c r="X25" s="57"/>
      <c r="Y25" s="57"/>
      <c r="Z25" s="57"/>
      <c r="AA25" s="57"/>
      <c r="AB25" s="24"/>
    </row>
    <row r="26" spans="2:28" s="2" customFormat="1">
      <c r="B26" s="72" t="s">
        <v>28</v>
      </c>
      <c r="C26" s="22"/>
      <c r="D26" s="22"/>
      <c r="E26" s="22"/>
      <c r="F26" s="22"/>
      <c r="G26" s="22"/>
      <c r="H26" s="22"/>
      <c r="I26" s="22"/>
      <c r="J26" s="23"/>
      <c r="K26" s="23"/>
      <c r="L26" s="23"/>
      <c r="M26" s="22"/>
      <c r="N26" s="22"/>
      <c r="O26" s="22"/>
      <c r="P26" s="7"/>
      <c r="R26" s="51"/>
      <c r="S26" s="51"/>
      <c r="T26" s="51"/>
      <c r="U26" s="57"/>
      <c r="V26" s="57"/>
      <c r="W26" s="57"/>
      <c r="X26" s="57"/>
      <c r="Y26" s="57"/>
      <c r="Z26" s="57"/>
      <c r="AA26" s="57"/>
      <c r="AB26" s="24"/>
    </row>
    <row r="27" spans="2:28" s="2" customFormat="1">
      <c r="B27" s="2" t="s">
        <v>29</v>
      </c>
      <c r="J27" s="4"/>
      <c r="K27" s="4"/>
      <c r="L27" s="4"/>
      <c r="P27" s="7"/>
      <c r="R27" s="51"/>
      <c r="S27" s="70" t="s">
        <v>93</v>
      </c>
      <c r="T27" s="51"/>
      <c r="U27" s="57"/>
      <c r="V27" s="57"/>
      <c r="W27" s="57"/>
      <c r="X27" s="57"/>
      <c r="Y27" s="57"/>
      <c r="Z27" s="57"/>
      <c r="AA27" s="57"/>
      <c r="AB27" s="24"/>
    </row>
    <row r="28" spans="2:28" s="2" customFormat="1">
      <c r="C28" s="24">
        <f>U28</f>
        <v>0.40600000000000003</v>
      </c>
      <c r="D28" s="2" t="s">
        <v>30</v>
      </c>
      <c r="J28" s="4"/>
      <c r="K28" s="4"/>
      <c r="L28" s="4"/>
      <c r="P28" s="7"/>
      <c r="R28" s="51" t="s">
        <v>19</v>
      </c>
      <c r="S28" s="51" t="s">
        <v>86</v>
      </c>
      <c r="T28" s="51"/>
      <c r="U28" s="57">
        <f>ROUND(IF($R28="Y",VLOOKUP($S28,Rates2020,3,0)*PercInc2020,VLOOKUP($S28,Rates2020,3,0)),3)</f>
        <v>0.40600000000000003</v>
      </c>
      <c r="V28" s="57"/>
      <c r="W28" s="57"/>
      <c r="X28" s="57"/>
      <c r="Y28" s="57"/>
      <c r="Z28" s="57"/>
      <c r="AA28" s="57"/>
      <c r="AB28" s="24"/>
    </row>
    <row r="29" spans="2:28" s="2" customFormat="1">
      <c r="C29" s="24">
        <f t="shared" ref="C29:C31" si="7">U29</f>
        <v>0.52300000000000002</v>
      </c>
      <c r="D29" s="2" t="s">
        <v>31</v>
      </c>
      <c r="J29" s="4"/>
      <c r="K29" s="4"/>
      <c r="L29" s="4"/>
      <c r="P29" s="7"/>
      <c r="R29" s="51" t="s">
        <v>19</v>
      </c>
      <c r="S29" s="51" t="s">
        <v>87</v>
      </c>
      <c r="T29" s="51"/>
      <c r="U29" s="57">
        <f>ROUND(IF($R29="Y",VLOOKUP($S29,Rates2020,3,0)*PercInc2020,VLOOKUP($S29,Rates2020,3,0)),3)</f>
        <v>0.52300000000000002</v>
      </c>
      <c r="V29" s="57"/>
      <c r="W29" s="57"/>
      <c r="X29" s="57"/>
      <c r="Y29" s="57"/>
      <c r="Z29" s="57"/>
      <c r="AA29" s="57"/>
      <c r="AB29" s="24"/>
    </row>
    <row r="30" spans="2:28" s="2" customFormat="1">
      <c r="C30" s="24">
        <f t="shared" si="7"/>
        <v>0.64100000000000001</v>
      </c>
      <c r="D30" s="2" t="s">
        <v>32</v>
      </c>
      <c r="J30" s="4"/>
      <c r="K30" s="4"/>
      <c r="L30" s="4"/>
      <c r="P30" s="7"/>
      <c r="R30" s="51" t="s">
        <v>19</v>
      </c>
      <c r="S30" s="51" t="s">
        <v>88</v>
      </c>
      <c r="T30" s="51"/>
      <c r="U30" s="57">
        <f>ROUND(IF($R30="Y",VLOOKUP($S30,Rates2020,3,0)*PercInc2020,VLOOKUP($S30,Rates2020,3,0)),3)</f>
        <v>0.64100000000000001</v>
      </c>
      <c r="V30" s="57"/>
      <c r="W30" s="57"/>
      <c r="X30" s="57"/>
      <c r="Y30" s="57"/>
      <c r="Z30" s="57"/>
      <c r="AA30" s="57"/>
      <c r="AB30" s="24"/>
    </row>
    <row r="31" spans="2:28" s="2" customFormat="1">
      <c r="C31" s="24">
        <f t="shared" si="7"/>
        <v>0.75800000000000001</v>
      </c>
      <c r="D31" s="2" t="s">
        <v>33</v>
      </c>
      <c r="J31" s="4"/>
      <c r="K31" s="4"/>
      <c r="L31" s="4"/>
      <c r="P31" s="7"/>
      <c r="R31" s="51" t="s">
        <v>19</v>
      </c>
      <c r="S31" s="51" t="s">
        <v>89</v>
      </c>
      <c r="T31" s="51"/>
      <c r="U31" s="57">
        <f>ROUND(IF($R31="Y",VLOOKUP($S31,Rates2020,3,0)*PercInc2020,VLOOKUP($S31,Rates2020,3,0)),3)</f>
        <v>0.75800000000000001</v>
      </c>
      <c r="V31" s="57"/>
      <c r="W31" s="57"/>
      <c r="X31" s="57"/>
      <c r="Y31" s="57"/>
      <c r="Z31" s="57"/>
      <c r="AA31" s="57"/>
      <c r="AB31" s="24"/>
    </row>
    <row r="32" spans="2:28" s="2" customFormat="1">
      <c r="B32" s="23"/>
      <c r="C32" s="23"/>
      <c r="D32" s="23"/>
      <c r="E32" s="22"/>
      <c r="F32" s="23"/>
      <c r="G32" s="23"/>
      <c r="H32" s="23"/>
      <c r="I32" s="23"/>
      <c r="J32" s="23"/>
      <c r="K32" s="23"/>
      <c r="L32" s="23"/>
      <c r="M32" s="22"/>
      <c r="N32" s="22"/>
      <c r="O32" s="23"/>
      <c r="P32" s="1"/>
      <c r="R32" s="51"/>
      <c r="S32" s="51"/>
      <c r="T32" s="51"/>
      <c r="U32" s="57"/>
      <c r="V32" s="57"/>
      <c r="W32" s="57"/>
      <c r="X32" s="57"/>
      <c r="Y32" s="57"/>
      <c r="Z32" s="57"/>
      <c r="AA32" s="57"/>
      <c r="AB32" s="24"/>
    </row>
    <row r="33" spans="2:28" s="26" customFormat="1">
      <c r="B33" s="25" t="s">
        <v>35</v>
      </c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63"/>
      <c r="S33" s="63"/>
      <c r="T33" s="63"/>
      <c r="U33" s="64"/>
      <c r="V33" s="64"/>
      <c r="W33" s="64"/>
      <c r="X33" s="64"/>
      <c r="Y33" s="64"/>
      <c r="Z33" s="64"/>
      <c r="AA33" s="64"/>
      <c r="AB33" s="49"/>
    </row>
    <row r="34" spans="2:28" s="2" customFormat="1">
      <c r="B34" s="37" t="s">
        <v>57</v>
      </c>
      <c r="C34" s="26"/>
      <c r="D34" s="26"/>
      <c r="E34" s="26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51"/>
      <c r="S34" s="51"/>
      <c r="T34" s="51"/>
      <c r="U34" s="57"/>
      <c r="V34" s="57"/>
      <c r="W34" s="57"/>
      <c r="X34" s="57"/>
      <c r="Y34" s="57"/>
      <c r="Z34" s="57"/>
      <c r="AA34" s="57"/>
      <c r="AB34" s="24"/>
    </row>
    <row r="35" spans="2:28" s="2" customFormat="1">
      <c r="B35" s="2" t="str">
        <f>"Dispatcher's hourly top-step rate of pay. Coaching/Training Premium = "&amp;TEXT(U35,"$0.000")&amp;" per hour assigned and coaching/training."</f>
        <v>Dispatcher's hourly top-step rate of pay. Coaching/Training Premium = $6.696 per hour assigned and coaching/training.</v>
      </c>
      <c r="G35" s="4"/>
      <c r="J35" s="34"/>
      <c r="K35" s="3"/>
      <c r="M35" s="4"/>
      <c r="N35" s="4"/>
      <c r="O35" s="4"/>
      <c r="P35" s="1"/>
      <c r="R35" s="51" t="s">
        <v>81</v>
      </c>
      <c r="S35" s="51" t="s">
        <v>91</v>
      </c>
      <c r="T35" s="51" t="s">
        <v>35</v>
      </c>
      <c r="U35" s="57">
        <f>ROUND(AA7*0.2,3)</f>
        <v>6.6959999999999997</v>
      </c>
      <c r="V35" s="51"/>
      <c r="W35" s="68" t="s">
        <v>96</v>
      </c>
      <c r="X35" s="57"/>
      <c r="Y35" s="57"/>
      <c r="Z35" s="57"/>
      <c r="AA35" s="57"/>
      <c r="AB35" s="24"/>
    </row>
    <row r="36" spans="2:28" s="2" customFormat="1">
      <c r="B36" s="3"/>
      <c r="F36" s="4"/>
      <c r="G36" s="4"/>
      <c r="H36" s="4"/>
      <c r="J36" s="32"/>
      <c r="K36" s="3"/>
      <c r="L36" s="4"/>
      <c r="M36" s="4"/>
      <c r="N36" s="4"/>
      <c r="O36" s="4"/>
      <c r="P36" s="1"/>
      <c r="R36" s="51"/>
      <c r="S36" s="51"/>
      <c r="T36" s="51"/>
      <c r="U36" s="57"/>
      <c r="V36" s="57"/>
      <c r="W36" s="57"/>
      <c r="X36" s="57"/>
      <c r="Y36" s="57"/>
      <c r="Z36" s="57"/>
      <c r="AA36" s="57"/>
      <c r="AB36" s="24"/>
    </row>
    <row r="37" spans="2:28" s="2" customFormat="1">
      <c r="B37" s="25" t="s">
        <v>64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51"/>
      <c r="S37" s="51"/>
      <c r="T37" s="51"/>
      <c r="U37" s="57"/>
      <c r="V37" s="57"/>
      <c r="W37" s="57"/>
      <c r="X37" s="57"/>
      <c r="Y37" s="57"/>
      <c r="Z37" s="57"/>
      <c r="AA37" s="57"/>
      <c r="AB37" s="24"/>
    </row>
    <row r="38" spans="2:28" s="2" customFormat="1">
      <c r="B38" s="40" t="s">
        <v>62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51"/>
      <c r="S38" s="51"/>
      <c r="T38" s="51"/>
      <c r="U38" s="57"/>
      <c r="V38" s="57"/>
      <c r="W38" s="57"/>
      <c r="X38" s="57"/>
      <c r="Y38" s="57"/>
      <c r="Z38" s="57"/>
      <c r="AA38" s="57"/>
      <c r="AB38" s="24"/>
    </row>
    <row r="39" spans="2:28" s="2" customFormat="1">
      <c r="B39" s="2" t="s">
        <v>63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51"/>
      <c r="S39" s="51"/>
      <c r="T39" s="51"/>
      <c r="U39" s="57"/>
      <c r="V39" s="57"/>
      <c r="W39" s="57"/>
      <c r="X39" s="57"/>
      <c r="Y39" s="57"/>
      <c r="Z39" s="57"/>
      <c r="AA39" s="57"/>
      <c r="AB39" s="24"/>
    </row>
    <row r="40" spans="2:28" s="2" customFormat="1">
      <c r="G40" s="9"/>
      <c r="H40" s="73" t="s">
        <v>60</v>
      </c>
      <c r="I40" s="12" t="s">
        <v>71</v>
      </c>
      <c r="J40" s="12" t="s">
        <v>72</v>
      </c>
      <c r="K40" s="12" t="s">
        <v>73</v>
      </c>
      <c r="L40" s="12" t="s">
        <v>74</v>
      </c>
      <c r="M40" s="12" t="s">
        <v>75</v>
      </c>
      <c r="N40" s="12" t="s">
        <v>76</v>
      </c>
      <c r="O40" s="12" t="s">
        <v>77</v>
      </c>
      <c r="R40" s="51"/>
      <c r="S40" s="66"/>
      <c r="T40" s="66"/>
      <c r="U40" s="66"/>
      <c r="V40" s="61"/>
      <c r="W40" s="69" t="s">
        <v>98</v>
      </c>
      <c r="X40" s="66"/>
      <c r="Y40" s="66"/>
      <c r="Z40" s="51"/>
      <c r="AA40" s="51"/>
      <c r="AB40" s="24"/>
    </row>
    <row r="41" spans="2:28">
      <c r="H41" s="74" t="s">
        <v>61</v>
      </c>
      <c r="I41" s="14">
        <f t="shared" ref="I41:O41" si="8">ROUND(HLOOKUP(I40,$I$6:$O$7,2)*1.5,3)</f>
        <v>36.932000000000002</v>
      </c>
      <c r="J41" s="14">
        <f t="shared" si="8"/>
        <v>38.859000000000002</v>
      </c>
      <c r="K41" s="14">
        <f t="shared" si="8"/>
        <v>40.898000000000003</v>
      </c>
      <c r="L41" s="14">
        <f t="shared" si="8"/>
        <v>43.046999999999997</v>
      </c>
      <c r="M41" s="14">
        <f t="shared" si="8"/>
        <v>45.326000000000001</v>
      </c>
      <c r="N41" s="14">
        <f t="shared" si="8"/>
        <v>47.716999999999999</v>
      </c>
      <c r="O41" s="14">
        <f t="shared" si="8"/>
        <v>50.219000000000001</v>
      </c>
      <c r="S41" s="67"/>
      <c r="T41" s="67"/>
      <c r="U41" s="67"/>
      <c r="V41" s="67"/>
      <c r="W41" s="67"/>
      <c r="X41" s="67"/>
      <c r="Y41" s="67"/>
    </row>
  </sheetData>
  <mergeCells count="1">
    <mergeCell ref="B1:O1"/>
  </mergeCells>
  <pageMargins left="0.25" right="0.25" top="0.5" bottom="0.25" header="0.5" footer="0.5"/>
  <pageSetup scale="95" orientation="landscape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D23D-A8E8-4C97-99ED-7F5725608F34}">
  <sheetPr>
    <tabColor theme="0" tint="-0.499984740745262"/>
    <pageSetUpPr fitToPage="1"/>
  </sheetPr>
  <dimension ref="A1:AB42"/>
  <sheetViews>
    <sheetView showGridLines="0" topLeftCell="B1" workbookViewId="0">
      <selection activeCell="Q18" sqref="Q18"/>
    </sheetView>
  </sheetViews>
  <sheetFormatPr defaultColWidth="9.1328125" defaultRowHeight="15.75"/>
  <cols>
    <col min="1" max="1" width="6.3984375" style="29" hidden="1" customWidth="1"/>
    <col min="2" max="2" width="8.59765625" style="29" customWidth="1"/>
    <col min="3" max="3" width="7.265625" style="29" bestFit="1" customWidth="1"/>
    <col min="4" max="4" width="5.86328125" style="29" customWidth="1"/>
    <col min="5" max="5" width="18.59765625" style="29" bestFit="1" customWidth="1"/>
    <col min="6" max="6" width="4.3984375" style="29" bestFit="1" customWidth="1"/>
    <col min="7" max="7" width="7.86328125" style="29" customWidth="1"/>
    <col min="8" max="8" width="9.1328125" style="29" customWidth="1"/>
    <col min="9" max="9" width="11.59765625" style="29" customWidth="1"/>
    <col min="10" max="15" width="9.265625" style="29" bestFit="1" customWidth="1"/>
    <col min="16" max="17" width="9.1328125" style="29"/>
    <col min="18" max="18" width="12.265625" style="51" bestFit="1" customWidth="1"/>
    <col min="19" max="19" width="10.59765625" style="51" bestFit="1" customWidth="1"/>
    <col min="20" max="20" width="27.59765625" style="51" bestFit="1" customWidth="1"/>
    <col min="21" max="22" width="8.3984375" style="57" bestFit="1" customWidth="1"/>
    <col min="23" max="23" width="10.59765625" style="57" customWidth="1"/>
    <col min="24" max="27" width="8.3984375" style="57" bestFit="1" customWidth="1"/>
    <col min="28" max="28" width="9.1328125" style="50"/>
    <col min="29" max="16384" width="9.1328125" style="29"/>
  </cols>
  <sheetData>
    <row r="1" spans="1:28" s="2" customFormat="1"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51" t="s">
        <v>101</v>
      </c>
      <c r="S1" s="76">
        <v>1.0149999999999999</v>
      </c>
      <c r="T1" s="51"/>
      <c r="U1" s="57"/>
      <c r="V1" s="57"/>
      <c r="W1" s="57"/>
      <c r="X1" s="57"/>
      <c r="Y1" s="57"/>
      <c r="Z1" s="57"/>
      <c r="AA1" s="57"/>
      <c r="AB1" s="24"/>
    </row>
    <row r="2" spans="1:28" s="2" customFormat="1">
      <c r="D2" s="3"/>
      <c r="E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51"/>
      <c r="S2" s="51"/>
      <c r="T2" s="51"/>
      <c r="U2" s="57"/>
      <c r="V2" s="57"/>
      <c r="W2" s="57"/>
      <c r="X2" s="57"/>
      <c r="Y2" s="57"/>
      <c r="Z2" s="57"/>
      <c r="AA2" s="57"/>
      <c r="AB2" s="24"/>
    </row>
    <row r="3" spans="1:28" s="2" customFormat="1">
      <c r="B3" s="6" t="s">
        <v>116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51"/>
      <c r="S3" s="51"/>
      <c r="T3" s="51"/>
      <c r="U3" s="57"/>
      <c r="V3" s="57"/>
      <c r="W3" s="57"/>
      <c r="X3" s="57"/>
      <c r="Y3" s="57"/>
      <c r="Z3" s="57"/>
      <c r="AA3" s="57"/>
      <c r="AB3" s="24"/>
    </row>
    <row r="4" spans="1:28" s="2" customFormat="1" ht="15" customHeight="1">
      <c r="B4" s="2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51"/>
      <c r="S4" s="51"/>
      <c r="T4" s="51"/>
      <c r="U4" s="57"/>
      <c r="V4" s="57"/>
      <c r="W4" s="57"/>
      <c r="X4" s="57"/>
      <c r="Y4" s="57"/>
      <c r="Z4" s="57"/>
      <c r="AA4" s="57"/>
      <c r="AB4" s="24"/>
    </row>
    <row r="5" spans="1:28" s="2" customFormat="1" ht="15" customHeight="1">
      <c r="B5" s="71"/>
      <c r="C5" s="3"/>
      <c r="D5" s="4"/>
      <c r="E5" s="71"/>
      <c r="F5" s="71"/>
      <c r="G5" s="9"/>
      <c r="H5" s="9"/>
      <c r="I5" s="10"/>
      <c r="J5" s="9"/>
      <c r="K5" s="9"/>
      <c r="L5" s="9"/>
      <c r="M5" s="9"/>
      <c r="N5" s="9"/>
      <c r="O5" s="4"/>
      <c r="P5" s="7"/>
      <c r="R5" s="51"/>
      <c r="S5" s="51"/>
      <c r="T5" s="51"/>
      <c r="U5" s="57"/>
      <c r="V5" s="57"/>
      <c r="W5" s="57"/>
      <c r="X5" s="57"/>
      <c r="Y5" s="57"/>
      <c r="Z5" s="57"/>
      <c r="AA5" s="57"/>
      <c r="AB5" s="24"/>
    </row>
    <row r="6" spans="1:28" s="2" customFormat="1" ht="31.5" customHeight="1">
      <c r="A6" s="47" t="s">
        <v>68</v>
      </c>
      <c r="B6" s="45" t="s">
        <v>78</v>
      </c>
      <c r="C6" s="12" t="s">
        <v>12</v>
      </c>
      <c r="D6" s="12" t="s">
        <v>13</v>
      </c>
      <c r="E6" s="11" t="s">
        <v>14</v>
      </c>
      <c r="F6" s="12" t="s">
        <v>15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51" t="s">
        <v>80</v>
      </c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  <c r="AB6" s="24"/>
    </row>
    <row r="7" spans="1:28" s="2" customFormat="1">
      <c r="A7" s="46" t="s">
        <v>69</v>
      </c>
      <c r="B7" s="3" t="s">
        <v>21</v>
      </c>
      <c r="C7" s="4" t="s">
        <v>19</v>
      </c>
      <c r="D7" s="4">
        <v>2</v>
      </c>
      <c r="E7" s="7" t="s">
        <v>22</v>
      </c>
      <c r="F7" s="4">
        <v>336</v>
      </c>
      <c r="G7" s="4">
        <v>7</v>
      </c>
      <c r="H7" s="4" t="s">
        <v>20</v>
      </c>
      <c r="I7" s="14">
        <f>U7</f>
        <v>24.99</v>
      </c>
      <c r="J7" s="14">
        <f t="shared" ref="J7:O7" si="0">V7</f>
        <v>26.295000000000002</v>
      </c>
      <c r="K7" s="14">
        <f t="shared" si="0"/>
        <v>27.673999999999999</v>
      </c>
      <c r="L7" s="14">
        <f t="shared" si="0"/>
        <v>29.128</v>
      </c>
      <c r="M7" s="14">
        <f t="shared" si="0"/>
        <v>30.67</v>
      </c>
      <c r="N7" s="14">
        <f t="shared" si="0"/>
        <v>32.287999999999997</v>
      </c>
      <c r="O7" s="14">
        <f t="shared" si="0"/>
        <v>33.981000000000002</v>
      </c>
      <c r="P7" s="7"/>
      <c r="R7" s="51" t="s">
        <v>81</v>
      </c>
      <c r="S7" s="55" t="s">
        <v>21</v>
      </c>
      <c r="T7" s="56" t="s">
        <v>22</v>
      </c>
      <c r="U7" s="57">
        <f>ROUND(IF($R7="Y",VLOOKUP($S7,Rates2020v2,3,0)*PercInc2021,VLOOKUP($S7,Rates2020v2,3,0)),3)</f>
        <v>24.99</v>
      </c>
      <c r="V7" s="57">
        <f>ROUND(IF($R7="Y",VLOOKUP($S7,Rates2020v2,4,0)*PercInc2021,VLOOKUP($S7,Rates2020v2,4,0)),3)</f>
        <v>26.295000000000002</v>
      </c>
      <c r="W7" s="66">
        <f>ROUND(IF($R7="Y",VLOOKUP($S7,Rates2020v2,5,0)*PercInc2021,VLOOKUP($S7,Rates2020v2,5,0)),3)</f>
        <v>27.673999999999999</v>
      </c>
      <c r="X7" s="57">
        <f>ROUND(IF($R7="Y",VLOOKUP($S7,Rates2020v2,6,0)*PercInc2021,VLOOKUP($S7,Rates2020v2,6,0)),3)</f>
        <v>29.128</v>
      </c>
      <c r="Y7" s="57">
        <f>ROUND(IF($R7="Y",VLOOKUP($S7,Rates2020v2,7,0)*PercInc2021,VLOOKUP($S7,Rates2020v2,7,0)),3)</f>
        <v>30.67</v>
      </c>
      <c r="Z7" s="57">
        <f>ROUND(IF($R7="Y",VLOOKUP($S7,Rates2020v2,8,0)*PercInc2021,VLOOKUP($S7,Rates2020v2,8,0)),3)</f>
        <v>32.287999999999997</v>
      </c>
      <c r="AA7" s="57">
        <f>ROUND(IF($R7="Y",VLOOKUP($S7,Rates2020v2,9,0)*PercInc2021,VLOOKUP($S7,Rates2020v2,9,0)),3)</f>
        <v>33.981000000000002</v>
      </c>
      <c r="AB7" s="24"/>
    </row>
    <row r="8" spans="1:28" s="2" customFormat="1">
      <c r="A8" s="46"/>
      <c r="B8" s="3" t="s">
        <v>113</v>
      </c>
      <c r="C8" s="4" t="s">
        <v>19</v>
      </c>
      <c r="D8" s="4">
        <v>2</v>
      </c>
      <c r="E8" s="7" t="s">
        <v>112</v>
      </c>
      <c r="F8" s="4">
        <v>308</v>
      </c>
      <c r="G8" s="4">
        <v>6</v>
      </c>
      <c r="H8" s="4" t="s">
        <v>20</v>
      </c>
      <c r="I8" s="14">
        <f>U8</f>
        <v>23.285</v>
      </c>
      <c r="J8" s="14">
        <f t="shared" ref="J8" si="1">V8</f>
        <v>24.513999999999999</v>
      </c>
      <c r="K8" s="14">
        <f t="shared" ref="K8" si="2">W8</f>
        <v>25.805</v>
      </c>
      <c r="L8" s="14">
        <f t="shared" ref="L8" si="3">X8</f>
        <v>27.158999999999999</v>
      </c>
      <c r="M8" s="14">
        <f t="shared" ref="M8" si="4">Y8</f>
        <v>28.59</v>
      </c>
      <c r="N8" s="14">
        <f t="shared" ref="N8" si="5">Z8</f>
        <v>30.094000000000001</v>
      </c>
      <c r="O8" s="14">
        <f t="shared" ref="O8" si="6">AA8</f>
        <v>31.673999999999999</v>
      </c>
      <c r="P8" s="7"/>
      <c r="R8" s="51" t="s">
        <v>81</v>
      </c>
      <c r="S8" s="55" t="s">
        <v>113</v>
      </c>
      <c r="T8" s="56" t="s">
        <v>112</v>
      </c>
      <c r="U8" s="57">
        <f>ROUND(IF($R8="Y",VLOOKUP($S8,Rates2020v2,3,0)*PercInc2021,VLOOKUP($S8,Rates2020v2,3,0)),3)</f>
        <v>23.285</v>
      </c>
      <c r="V8" s="57">
        <f>ROUND(IF($R8="Y",VLOOKUP($S8,Rates2020v2,4,0)*PercInc2021,VLOOKUP($S8,Rates2020v2,4,0)),3)</f>
        <v>24.513999999999999</v>
      </c>
      <c r="W8" s="66">
        <f>ROUND(IF($R8="Y",VLOOKUP($S8,Rates2020v2,5,0)*PercInc2021,VLOOKUP($S8,Rates2020v2,5,0)),3)</f>
        <v>25.805</v>
      </c>
      <c r="X8" s="57">
        <f>ROUND(IF($R8="Y",VLOOKUP($S8,Rates2020v2,6,0)*PercInc2021,VLOOKUP($S8,Rates2020v2,6,0)),3)</f>
        <v>27.158999999999999</v>
      </c>
      <c r="Y8" s="57">
        <f>ROUND(IF($R8="Y",VLOOKUP($S8,Rates2020v2,7,0)*PercInc2021,VLOOKUP($S8,Rates2020v2,7,0)),3)</f>
        <v>28.59</v>
      </c>
      <c r="Z8" s="57">
        <f>ROUND(IF($R8="Y",VLOOKUP($S8,Rates2020v2,8,0)*PercInc2021,VLOOKUP($S8,Rates2020v2,8,0)),3)</f>
        <v>30.094000000000001</v>
      </c>
      <c r="AA8" s="57">
        <f>ROUND(IF($R8="Y",VLOOKUP($S8,Rates2020v2,9,0)*PercInc2021,VLOOKUP($S8,Rates2020v2,9,0)),3)</f>
        <v>31.673999999999999</v>
      </c>
      <c r="AB8" s="24"/>
    </row>
    <row r="9" spans="1:28" s="7" customFormat="1" ht="16.149999999999999" thickBot="1">
      <c r="A9" s="16"/>
      <c r="B9" s="15"/>
      <c r="C9" s="15"/>
      <c r="D9" s="15"/>
      <c r="E9" s="16"/>
      <c r="F9" s="15"/>
      <c r="G9" s="15"/>
      <c r="H9" s="15"/>
      <c r="I9" s="15"/>
      <c r="J9" s="15"/>
      <c r="K9" s="15"/>
      <c r="L9" s="15"/>
      <c r="M9" s="16"/>
      <c r="N9" s="16"/>
      <c r="O9" s="16"/>
      <c r="R9" s="58"/>
      <c r="S9" s="58"/>
      <c r="T9" s="58"/>
      <c r="U9" s="59"/>
      <c r="V9" s="59"/>
      <c r="W9" s="59"/>
      <c r="X9" s="59"/>
      <c r="Y9" s="59"/>
      <c r="Z9" s="59"/>
      <c r="AA9" s="59"/>
      <c r="AB9" s="78"/>
    </row>
    <row r="10" spans="1:28" s="2" customFormat="1">
      <c r="B10" s="71" t="s">
        <v>56</v>
      </c>
      <c r="C10" s="4"/>
      <c r="D10" s="4"/>
      <c r="F10" s="4"/>
      <c r="G10" s="4"/>
      <c r="H10" s="4"/>
      <c r="I10" s="4"/>
      <c r="J10" s="4"/>
      <c r="K10" s="4"/>
      <c r="L10" s="4"/>
      <c r="P10" s="7"/>
      <c r="R10" s="51"/>
      <c r="S10" s="51"/>
      <c r="T10" s="51"/>
      <c r="U10" s="57"/>
      <c r="V10" s="57"/>
      <c r="W10" s="57"/>
      <c r="X10" s="57"/>
      <c r="Y10" s="57"/>
      <c r="Z10" s="57"/>
      <c r="AA10" s="57"/>
      <c r="AB10" s="24"/>
    </row>
    <row r="11" spans="1:28" s="2" customFormat="1">
      <c r="B11" s="2" t="str">
        <f>"In addition to their base rate of pay, employees shall be paid "&amp;TEXT(U11,"$0.000")&amp; " per hour for all hours worked on any shift that begins"</f>
        <v>In addition to their base rate of pay, employees shall be paid $0.500 per hour for all hours worked on any shift that begins</v>
      </c>
      <c r="C11" s="4"/>
      <c r="D11" s="4"/>
      <c r="F11" s="4"/>
      <c r="G11" s="4"/>
      <c r="I11" s="36"/>
      <c r="J11" s="3"/>
      <c r="K11" s="3"/>
      <c r="L11" s="3"/>
      <c r="M11" s="3"/>
      <c r="N11" s="3"/>
      <c r="P11" s="7"/>
      <c r="R11" s="51" t="s">
        <v>81</v>
      </c>
      <c r="S11" s="60" t="s">
        <v>82</v>
      </c>
      <c r="T11" s="60" t="s">
        <v>83</v>
      </c>
      <c r="U11" s="57">
        <f>ROUND(IF($R11="Y",VLOOKUP($S11,Rates2020v2,3,0)*PercInc2021,VLOOKUP($S11,Rates2020v2,3,0)),3)</f>
        <v>0.5</v>
      </c>
      <c r="V11" s="57"/>
      <c r="W11" s="57"/>
      <c r="X11" s="61"/>
      <c r="Y11" s="57"/>
      <c r="Z11" s="57"/>
      <c r="AA11" s="57"/>
      <c r="AB11" s="24"/>
    </row>
    <row r="12" spans="1:28" s="2" customFormat="1">
      <c r="B12" s="2" t="s">
        <v>53</v>
      </c>
      <c r="P12" s="7"/>
      <c r="R12" s="51"/>
      <c r="S12" s="51"/>
      <c r="T12" s="51"/>
      <c r="U12" s="57"/>
      <c r="V12" s="57"/>
      <c r="W12" s="57"/>
      <c r="X12" s="57"/>
      <c r="Y12" s="57"/>
      <c r="Z12" s="57"/>
      <c r="AA12" s="57"/>
      <c r="AB12" s="24"/>
    </row>
    <row r="13" spans="1:28" s="2" customFormat="1">
      <c r="P13" s="7"/>
      <c r="R13" s="51"/>
      <c r="S13" s="51"/>
      <c r="T13" s="51"/>
      <c r="U13" s="57"/>
      <c r="V13" s="57"/>
      <c r="W13" s="57"/>
      <c r="X13" s="57"/>
      <c r="Y13" s="57"/>
      <c r="Z13" s="57"/>
      <c r="AA13" s="57"/>
      <c r="AB13" s="24"/>
    </row>
    <row r="14" spans="1:28" s="2" customFormat="1">
      <c r="B14" s="2" t="str">
        <f>"In addition to their base rate of pay, employees shall be paid "&amp;TEXT(U14,"$0.000")&amp;" per hour for all hours worked on any shift that begins"</f>
        <v>In addition to their base rate of pay, employees shall be paid $1.189 per hour for all hours worked on any shift that begins</v>
      </c>
      <c r="I14" s="36"/>
      <c r="P14" s="7"/>
      <c r="R14" s="51" t="s">
        <v>81</v>
      </c>
      <c r="S14" s="60" t="s">
        <v>84</v>
      </c>
      <c r="T14" s="60" t="s">
        <v>85</v>
      </c>
      <c r="U14" s="57">
        <f>ROUND(IF($R14="Y",VLOOKUP($S14,Rates2020v2,3,0)*PercInc2021,VLOOKUP($S14,Rates2020v2,3,0)),3)</f>
        <v>1.1890000000000001</v>
      </c>
      <c r="V14" s="57"/>
      <c r="W14" s="57"/>
      <c r="X14" s="57"/>
      <c r="Y14" s="57"/>
      <c r="Z14" s="57"/>
      <c r="AA14" s="57"/>
      <c r="AB14" s="24"/>
    </row>
    <row r="15" spans="1:28" s="2" customFormat="1">
      <c r="B15" s="2" t="s">
        <v>95</v>
      </c>
      <c r="C15" s="4"/>
      <c r="D15" s="4"/>
      <c r="F15" s="4"/>
      <c r="G15" s="4"/>
      <c r="H15" s="4"/>
      <c r="I15" s="4"/>
      <c r="J15" s="4"/>
      <c r="K15" s="4"/>
      <c r="L15" s="4"/>
      <c r="P15" s="7"/>
      <c r="R15" s="51"/>
      <c r="S15" s="51"/>
      <c r="T15" s="51"/>
      <c r="U15" s="57"/>
      <c r="V15" s="57"/>
      <c r="W15" s="57"/>
      <c r="X15" s="57"/>
      <c r="Y15" s="57"/>
      <c r="Z15" s="57"/>
      <c r="AA15" s="57"/>
      <c r="AB15" s="24"/>
    </row>
    <row r="16" spans="1:28" s="2" customFormat="1">
      <c r="C16" s="4"/>
      <c r="D16" s="4"/>
      <c r="F16" s="4"/>
      <c r="G16" s="4"/>
      <c r="H16" s="4"/>
      <c r="I16" s="4"/>
      <c r="J16" s="4"/>
      <c r="K16" s="4"/>
      <c r="L16" s="4"/>
      <c r="P16" s="7"/>
      <c r="R16" s="51"/>
      <c r="S16" s="70" t="s">
        <v>145</v>
      </c>
      <c r="T16" s="51"/>
      <c r="U16" s="57"/>
      <c r="V16" s="57"/>
      <c r="W16" s="57"/>
      <c r="X16" s="57"/>
      <c r="Y16" s="57"/>
      <c r="Z16" s="57"/>
      <c r="AA16" s="57"/>
      <c r="AB16" s="24"/>
    </row>
    <row r="17" spans="2:28" s="2" customFormat="1">
      <c r="B17" s="2" t="s">
        <v>24</v>
      </c>
      <c r="P17" s="7"/>
      <c r="R17" s="51" t="s">
        <v>81</v>
      </c>
      <c r="S17" s="51" t="s">
        <v>137</v>
      </c>
      <c r="T17" s="99" t="s">
        <v>147</v>
      </c>
      <c r="U17" s="57">
        <v>1.1890000000000001</v>
      </c>
      <c r="V17" s="57"/>
      <c r="W17" s="57"/>
      <c r="X17" s="57"/>
      <c r="Y17" s="99" t="s">
        <v>147</v>
      </c>
      <c r="Z17" s="57"/>
      <c r="AA17" s="57"/>
      <c r="AB17" s="24"/>
    </row>
    <row r="18" spans="2:28" s="2" customFormat="1">
      <c r="B18" s="2" t="s">
        <v>25</v>
      </c>
      <c r="P18" s="7"/>
      <c r="R18" s="51" t="s">
        <v>81</v>
      </c>
      <c r="S18" s="51" t="s">
        <v>138</v>
      </c>
      <c r="T18" s="51" t="s">
        <v>148</v>
      </c>
      <c r="U18" s="57">
        <f>U17*1.5</f>
        <v>1.7835000000000001</v>
      </c>
      <c r="V18" s="57"/>
      <c r="W18" s="57" t="s">
        <v>143</v>
      </c>
      <c r="X18" s="57"/>
      <c r="Y18" s="51" t="s">
        <v>148</v>
      </c>
      <c r="Z18" s="57"/>
      <c r="AA18" s="57"/>
      <c r="AB18" s="24"/>
    </row>
    <row r="19" spans="2:28" s="2" customFormat="1">
      <c r="B19" s="2" t="s">
        <v>26</v>
      </c>
      <c r="P19" s="7"/>
      <c r="R19" s="51" t="s">
        <v>81</v>
      </c>
      <c r="S19" s="51" t="s">
        <v>139</v>
      </c>
      <c r="T19" s="51" t="s">
        <v>146</v>
      </c>
      <c r="U19" s="57">
        <f>U17*2</f>
        <v>2.3780000000000001</v>
      </c>
      <c r="V19" s="57"/>
      <c r="W19" s="57" t="s">
        <v>144</v>
      </c>
      <c r="X19" s="57"/>
      <c r="Y19" s="51" t="s">
        <v>146</v>
      </c>
      <c r="Z19" s="57"/>
      <c r="AA19" s="57"/>
      <c r="AB19" s="24"/>
    </row>
    <row r="20" spans="2:28" s="2" customFormat="1">
      <c r="B20" s="7" t="s">
        <v>27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51" t="s">
        <v>81</v>
      </c>
      <c r="S20" s="51" t="s">
        <v>134</v>
      </c>
      <c r="T20" s="51" t="s">
        <v>149</v>
      </c>
      <c r="U20" s="57">
        <v>0.5</v>
      </c>
      <c r="V20" s="57"/>
      <c r="W20" s="57"/>
      <c r="X20" s="57"/>
      <c r="Y20" s="51" t="s">
        <v>149</v>
      </c>
      <c r="Z20" s="57"/>
      <c r="AA20" s="57"/>
      <c r="AB20" s="24"/>
    </row>
    <row r="21" spans="2:28" s="2" customFormat="1">
      <c r="B21" s="7"/>
      <c r="C21" s="1"/>
      <c r="D21" s="1"/>
      <c r="E21" s="7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51" t="s">
        <v>81</v>
      </c>
      <c r="S21" s="51" t="s">
        <v>135</v>
      </c>
      <c r="T21" s="51" t="s">
        <v>150</v>
      </c>
      <c r="U21" s="57">
        <f>U20*1.5</f>
        <v>0.75</v>
      </c>
      <c r="V21" s="57"/>
      <c r="W21" s="57" t="s">
        <v>141</v>
      </c>
      <c r="X21" s="57"/>
      <c r="Y21" s="51" t="s">
        <v>150</v>
      </c>
      <c r="Z21" s="57"/>
      <c r="AA21" s="57"/>
      <c r="AB21" s="24"/>
    </row>
    <row r="22" spans="2:28" s="2" customFormat="1">
      <c r="B22" s="7" t="s">
        <v>59</v>
      </c>
      <c r="C22" s="1"/>
      <c r="D22" s="1"/>
      <c r="E22" s="7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51" t="s">
        <v>81</v>
      </c>
      <c r="S22" s="51" t="s">
        <v>136</v>
      </c>
      <c r="T22" s="51" t="s">
        <v>151</v>
      </c>
      <c r="U22" s="57">
        <f>U20*2</f>
        <v>1</v>
      </c>
      <c r="V22" s="57"/>
      <c r="W22" s="57" t="s">
        <v>142</v>
      </c>
      <c r="X22" s="57"/>
      <c r="Y22" s="51" t="s">
        <v>151</v>
      </c>
      <c r="Z22" s="57"/>
      <c r="AA22" s="57"/>
      <c r="AB22" s="24"/>
    </row>
    <row r="23" spans="2:28" s="2" customFormat="1">
      <c r="C23" s="1"/>
      <c r="D23" s="1"/>
      <c r="E23" s="7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51"/>
      <c r="S23" s="51"/>
      <c r="T23" s="51"/>
      <c r="U23" s="57"/>
      <c r="V23" s="57"/>
      <c r="W23" s="57"/>
      <c r="X23" s="57"/>
      <c r="Y23" s="51"/>
      <c r="Z23" s="57"/>
      <c r="AA23" s="57"/>
      <c r="AB23" s="24"/>
    </row>
    <row r="24" spans="2:28" s="2" customFormat="1">
      <c r="B24" s="7" t="s">
        <v>54</v>
      </c>
      <c r="C24" s="1"/>
      <c r="D24" s="1"/>
      <c r="E24" s="7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51"/>
      <c r="S24" s="51"/>
      <c r="T24" s="51"/>
      <c r="U24" s="57"/>
      <c r="V24" s="57"/>
      <c r="W24" s="57"/>
      <c r="X24" s="57"/>
      <c r="Y24" s="51"/>
      <c r="Z24" s="57"/>
      <c r="AA24" s="57"/>
      <c r="AB24" s="24"/>
    </row>
    <row r="25" spans="2:28" s="2" customFormat="1">
      <c r="B25" s="7"/>
      <c r="C25" s="1"/>
      <c r="D25" s="1"/>
      <c r="E25" s="7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51"/>
      <c r="S25" s="51"/>
      <c r="T25" s="51"/>
      <c r="U25" s="57"/>
      <c r="V25" s="57"/>
      <c r="W25" s="57"/>
      <c r="X25" s="57"/>
      <c r="Y25" s="51"/>
      <c r="Z25" s="57"/>
      <c r="AA25" s="57"/>
      <c r="AB25" s="24"/>
    </row>
    <row r="26" spans="2:28" s="2" customFormat="1">
      <c r="B26" s="72" t="s">
        <v>28</v>
      </c>
      <c r="C26" s="22"/>
      <c r="D26" s="22"/>
      <c r="E26" s="22"/>
      <c r="F26" s="22"/>
      <c r="G26" s="22"/>
      <c r="H26" s="22"/>
      <c r="I26" s="22"/>
      <c r="J26" s="23"/>
      <c r="K26" s="23"/>
      <c r="L26" s="23"/>
      <c r="M26" s="22"/>
      <c r="N26" s="22"/>
      <c r="O26" s="22"/>
      <c r="P26" s="7"/>
      <c r="R26" s="51"/>
      <c r="S26" s="51"/>
      <c r="T26" s="51"/>
      <c r="U26" s="57"/>
      <c r="V26" s="57"/>
      <c r="W26" s="57"/>
      <c r="X26" s="57"/>
      <c r="Y26" s="57"/>
      <c r="Z26" s="57"/>
      <c r="AA26" s="57"/>
      <c r="AB26" s="24"/>
    </row>
    <row r="27" spans="2:28" s="2" customFormat="1">
      <c r="B27" s="2" t="s">
        <v>29</v>
      </c>
      <c r="J27" s="4"/>
      <c r="K27" s="4"/>
      <c r="L27" s="4"/>
      <c r="P27" s="7"/>
      <c r="R27" s="51"/>
      <c r="S27" s="70" t="s">
        <v>93</v>
      </c>
      <c r="T27" s="51"/>
      <c r="U27" s="57"/>
      <c r="V27" s="57"/>
      <c r="W27" s="57"/>
      <c r="X27" s="57"/>
      <c r="Y27" s="57"/>
      <c r="Z27" s="57"/>
      <c r="AA27" s="57"/>
      <c r="AB27" s="24"/>
    </row>
    <row r="28" spans="2:28" s="2" customFormat="1">
      <c r="C28" s="24">
        <f>U28</f>
        <v>0.40600000000000003</v>
      </c>
      <c r="D28" s="2" t="s">
        <v>30</v>
      </c>
      <c r="J28" s="4"/>
      <c r="K28" s="4"/>
      <c r="L28" s="4"/>
      <c r="P28" s="7"/>
      <c r="R28" s="51" t="s">
        <v>19</v>
      </c>
      <c r="S28" s="51" t="s">
        <v>86</v>
      </c>
      <c r="T28" s="51"/>
      <c r="U28" s="57">
        <f>ROUND(IF($R28="Y",VLOOKUP($S28,Rates2020v2,3,0)*PercInc2021,VLOOKUP($S28,Rates2020v2,3,0)),3)</f>
        <v>0.40600000000000003</v>
      </c>
      <c r="V28" s="57"/>
      <c r="W28" s="57"/>
      <c r="X28" s="57"/>
      <c r="Y28" s="57"/>
      <c r="Z28" s="57"/>
      <c r="AA28" s="57"/>
      <c r="AB28" s="24"/>
    </row>
    <row r="29" spans="2:28" s="2" customFormat="1">
      <c r="C29" s="24">
        <f t="shared" ref="C29:C31" si="7">U29</f>
        <v>0.52300000000000002</v>
      </c>
      <c r="D29" s="2" t="s">
        <v>31</v>
      </c>
      <c r="J29" s="4"/>
      <c r="K29" s="4"/>
      <c r="L29" s="4"/>
      <c r="P29" s="7"/>
      <c r="R29" s="51" t="s">
        <v>19</v>
      </c>
      <c r="S29" s="51" t="s">
        <v>87</v>
      </c>
      <c r="T29" s="51"/>
      <c r="U29" s="57">
        <f>ROUND(IF($R29="Y",VLOOKUP($S29,Rates2020v2,3,0)*PercInc2021,VLOOKUP($S29,Rates2020v2,3,0)),3)</f>
        <v>0.52300000000000002</v>
      </c>
      <c r="V29" s="57"/>
      <c r="W29" s="57"/>
      <c r="X29" s="57"/>
      <c r="Y29" s="57"/>
      <c r="Z29" s="57"/>
      <c r="AA29" s="57"/>
      <c r="AB29" s="24"/>
    </row>
    <row r="30" spans="2:28" s="2" customFormat="1">
      <c r="C30" s="24">
        <f t="shared" si="7"/>
        <v>0.64100000000000001</v>
      </c>
      <c r="D30" s="2" t="s">
        <v>32</v>
      </c>
      <c r="J30" s="4"/>
      <c r="K30" s="4"/>
      <c r="L30" s="4"/>
      <c r="P30" s="7"/>
      <c r="R30" s="51" t="s">
        <v>19</v>
      </c>
      <c r="S30" s="51" t="s">
        <v>88</v>
      </c>
      <c r="T30" s="51"/>
      <c r="U30" s="57">
        <f>ROUND(IF($R30="Y",VLOOKUP($S30,Rates2020v2,3,0)*PercInc2021,VLOOKUP($S30,Rates2020v2,3,0)),3)</f>
        <v>0.64100000000000001</v>
      </c>
      <c r="V30" s="57"/>
      <c r="W30" s="57"/>
      <c r="X30" s="57"/>
      <c r="Y30" s="57"/>
      <c r="Z30" s="57"/>
      <c r="AA30" s="57"/>
      <c r="AB30" s="24"/>
    </row>
    <row r="31" spans="2:28" s="2" customFormat="1">
      <c r="C31" s="24">
        <f t="shared" si="7"/>
        <v>0.75800000000000001</v>
      </c>
      <c r="D31" s="2" t="s">
        <v>33</v>
      </c>
      <c r="J31" s="4"/>
      <c r="K31" s="4"/>
      <c r="L31" s="4"/>
      <c r="P31" s="7"/>
      <c r="R31" s="51" t="s">
        <v>19</v>
      </c>
      <c r="S31" s="51" t="s">
        <v>89</v>
      </c>
      <c r="T31" s="51"/>
      <c r="U31" s="57">
        <f>ROUND(IF($R31="Y",VLOOKUP($S31,Rates2020v2,3,0)*PercInc2021,VLOOKUP($S31,Rates2020v2,3,0)),3)</f>
        <v>0.75800000000000001</v>
      </c>
      <c r="V31" s="57"/>
      <c r="W31" s="57"/>
      <c r="X31" s="57"/>
      <c r="Y31" s="57"/>
      <c r="Z31" s="57"/>
      <c r="AA31" s="57"/>
      <c r="AB31" s="24"/>
    </row>
    <row r="32" spans="2:28" s="2" customFormat="1">
      <c r="B32" s="23"/>
      <c r="C32" s="23"/>
      <c r="D32" s="23"/>
      <c r="E32" s="22"/>
      <c r="F32" s="23"/>
      <c r="G32" s="23"/>
      <c r="H32" s="23"/>
      <c r="I32" s="23"/>
      <c r="J32" s="23"/>
      <c r="K32" s="23"/>
      <c r="L32" s="23"/>
      <c r="M32" s="22"/>
      <c r="N32" s="22"/>
      <c r="O32" s="23"/>
      <c r="P32" s="1"/>
      <c r="R32" s="51"/>
      <c r="S32" s="51"/>
      <c r="T32" s="51"/>
      <c r="U32" s="57"/>
      <c r="V32" s="57"/>
      <c r="W32" s="57"/>
      <c r="X32" s="57"/>
      <c r="Y32" s="57"/>
      <c r="Z32" s="57"/>
      <c r="AA32" s="57"/>
      <c r="AB32" s="24"/>
    </row>
    <row r="33" spans="2:28" s="2" customFormat="1" ht="2.25" customHeight="1">
      <c r="B33" s="1"/>
      <c r="C33" s="1"/>
      <c r="D33" s="1"/>
      <c r="E33" s="7"/>
      <c r="F33" s="1"/>
      <c r="G33" s="1"/>
      <c r="H33" s="1"/>
      <c r="I33" s="1"/>
      <c r="J33" s="1"/>
      <c r="K33" s="1"/>
      <c r="L33" s="1"/>
      <c r="M33" s="7"/>
      <c r="N33" s="7"/>
      <c r="O33" s="1"/>
      <c r="P33" s="1"/>
      <c r="R33" s="51"/>
      <c r="S33" s="51"/>
      <c r="T33" s="51"/>
      <c r="U33" s="57"/>
      <c r="V33" s="57"/>
      <c r="W33" s="57"/>
      <c r="X33" s="57"/>
      <c r="Y33" s="57"/>
      <c r="Z33" s="57"/>
      <c r="AA33" s="57"/>
      <c r="AB33" s="24"/>
    </row>
    <row r="34" spans="2:28" s="26" customFormat="1">
      <c r="B34" s="25" t="s">
        <v>35</v>
      </c>
      <c r="F34" s="27"/>
      <c r="G34" s="27"/>
      <c r="H34" s="32"/>
      <c r="I34" s="27"/>
      <c r="J34" s="27"/>
      <c r="K34" s="27"/>
      <c r="L34" s="27"/>
      <c r="M34" s="27"/>
      <c r="N34" s="27"/>
      <c r="O34" s="27"/>
      <c r="P34" s="28"/>
      <c r="R34" s="63"/>
      <c r="S34" s="63"/>
      <c r="T34" s="63"/>
      <c r="U34" s="64"/>
      <c r="V34" s="64"/>
      <c r="W34" s="64"/>
      <c r="X34" s="64"/>
      <c r="Y34" s="64"/>
      <c r="Z34" s="64"/>
      <c r="AA34" s="64"/>
      <c r="AB34" s="49"/>
    </row>
    <row r="35" spans="2:28" s="2" customFormat="1">
      <c r="B35" s="37" t="s">
        <v>57</v>
      </c>
      <c r="C35" s="26"/>
      <c r="D35" s="26"/>
      <c r="E35" s="26"/>
      <c r="F35" s="27"/>
      <c r="G35" s="27"/>
      <c r="H35" s="27"/>
      <c r="I35" s="27"/>
      <c r="J35" s="27"/>
      <c r="K35" s="27"/>
      <c r="L35" s="27"/>
      <c r="M35" s="27"/>
      <c r="N35" s="27"/>
      <c r="O35" s="31"/>
      <c r="P35" s="28"/>
      <c r="R35" s="51"/>
      <c r="S35" s="51"/>
      <c r="T35" s="51"/>
      <c r="U35" s="57"/>
      <c r="V35" s="57"/>
      <c r="W35" s="57"/>
      <c r="X35" s="57"/>
      <c r="Y35" s="57"/>
      <c r="Z35" s="57"/>
      <c r="AA35" s="57"/>
      <c r="AB35" s="24"/>
    </row>
    <row r="36" spans="2:28" s="2" customFormat="1">
      <c r="B36" s="2" t="str">
        <f>"Dispatcher's hourly top-step rate of pay. Coaching/Training Premium = "&amp;TEXT(U36,"$0.000")&amp;" per hour assigned and coaching/training."</f>
        <v>Dispatcher's hourly top-step rate of pay. Coaching/Training Premium = $6.796 per hour assigned and coaching/training.</v>
      </c>
      <c r="G36" s="4"/>
      <c r="J36" s="34"/>
      <c r="K36" s="3"/>
      <c r="M36" s="4"/>
      <c r="N36" s="4"/>
      <c r="O36" s="4"/>
      <c r="P36" s="1"/>
      <c r="R36" s="51" t="s">
        <v>81</v>
      </c>
      <c r="S36" s="51" t="s">
        <v>140</v>
      </c>
      <c r="T36" s="51" t="s">
        <v>35</v>
      </c>
      <c r="U36" s="57">
        <f>ROUND(AA7*0.2,3)</f>
        <v>6.7960000000000003</v>
      </c>
      <c r="V36" s="51"/>
      <c r="W36" s="68" t="s">
        <v>96</v>
      </c>
      <c r="X36" s="57"/>
      <c r="Y36" s="57"/>
      <c r="Z36" s="57"/>
      <c r="AA36" s="57"/>
      <c r="AB36" s="24"/>
    </row>
    <row r="37" spans="2:28" s="2" customFormat="1">
      <c r="B37" s="3"/>
      <c r="F37" s="4"/>
      <c r="G37" s="4"/>
      <c r="H37" s="4"/>
      <c r="J37" s="32"/>
      <c r="K37" s="3"/>
      <c r="L37" s="4"/>
      <c r="M37" s="4"/>
      <c r="N37" s="4"/>
      <c r="O37" s="4"/>
      <c r="P37" s="1"/>
      <c r="R37" s="51"/>
      <c r="S37" s="51"/>
      <c r="T37" s="51"/>
      <c r="U37" s="57"/>
      <c r="V37" s="57"/>
      <c r="W37" s="57"/>
      <c r="X37" s="57"/>
      <c r="Y37" s="57"/>
      <c r="Z37" s="57"/>
      <c r="AA37" s="57"/>
      <c r="AB37" s="24"/>
    </row>
    <row r="38" spans="2:28" s="2" customFormat="1">
      <c r="B38" s="25" t="s">
        <v>64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51"/>
      <c r="S38" s="51"/>
      <c r="T38" s="51"/>
      <c r="U38" s="57"/>
      <c r="V38" s="57"/>
      <c r="W38" s="57"/>
      <c r="X38" s="57"/>
      <c r="Y38" s="57"/>
      <c r="Z38" s="57"/>
      <c r="AA38" s="57"/>
      <c r="AB38" s="24"/>
    </row>
    <row r="39" spans="2:28" s="2" customFormat="1">
      <c r="B39" s="40" t="s">
        <v>62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97"/>
      <c r="S39" s="51"/>
      <c r="T39" s="51"/>
      <c r="U39" s="57"/>
      <c r="V39" s="57"/>
      <c r="W39" s="57"/>
      <c r="X39" s="57"/>
      <c r="Y39" s="57"/>
      <c r="Z39" s="57"/>
      <c r="AA39" s="57"/>
      <c r="AB39" s="24"/>
    </row>
    <row r="40" spans="2:28" s="2" customFormat="1">
      <c r="B40" s="2" t="s">
        <v>63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1"/>
      <c r="R40" s="97"/>
      <c r="S40" s="51"/>
      <c r="T40" s="51"/>
      <c r="U40" s="57"/>
      <c r="V40" s="57"/>
      <c r="W40" s="57"/>
      <c r="X40" s="57"/>
      <c r="Y40" s="57"/>
      <c r="Z40" s="57"/>
      <c r="AA40" s="57"/>
      <c r="AB40" s="24"/>
    </row>
    <row r="41" spans="2:28" s="2" customFormat="1">
      <c r="G41" s="9"/>
      <c r="H41" s="73" t="s">
        <v>60</v>
      </c>
      <c r="I41" s="12" t="s">
        <v>71</v>
      </c>
      <c r="J41" s="12" t="s">
        <v>72</v>
      </c>
      <c r="K41" s="12" t="s">
        <v>73</v>
      </c>
      <c r="L41" s="12" t="s">
        <v>74</v>
      </c>
      <c r="M41" s="12" t="s">
        <v>75</v>
      </c>
      <c r="N41" s="12" t="s">
        <v>76</v>
      </c>
      <c r="O41" s="12" t="s">
        <v>77</v>
      </c>
      <c r="R41" s="97"/>
      <c r="S41" s="66"/>
      <c r="T41" s="66"/>
      <c r="U41" s="66"/>
      <c r="V41" s="61"/>
      <c r="W41" s="69" t="s">
        <v>98</v>
      </c>
      <c r="X41" s="66"/>
      <c r="Y41" s="66"/>
      <c r="Z41" s="51"/>
      <c r="AA41" s="51"/>
      <c r="AB41" s="24"/>
    </row>
    <row r="42" spans="2:28">
      <c r="H42" s="74" t="s">
        <v>61</v>
      </c>
      <c r="I42" s="14">
        <f t="shared" ref="I42:O42" si="8">ROUND(HLOOKUP(I41,$I$6:$O$7,2)*1.5,3)</f>
        <v>37.484999999999999</v>
      </c>
      <c r="J42" s="14">
        <f t="shared" si="8"/>
        <v>39.442999999999998</v>
      </c>
      <c r="K42" s="14">
        <f t="shared" si="8"/>
        <v>41.511000000000003</v>
      </c>
      <c r="L42" s="14">
        <f t="shared" si="8"/>
        <v>43.692</v>
      </c>
      <c r="M42" s="14">
        <f t="shared" si="8"/>
        <v>46.005000000000003</v>
      </c>
      <c r="N42" s="14">
        <f t="shared" si="8"/>
        <v>48.432000000000002</v>
      </c>
      <c r="O42" s="14">
        <f t="shared" si="8"/>
        <v>50.972000000000001</v>
      </c>
      <c r="S42" s="67"/>
      <c r="T42" s="67"/>
      <c r="U42" s="67"/>
      <c r="V42" s="67"/>
      <c r="W42" s="67"/>
      <c r="X42" s="67"/>
      <c r="Y42" s="67"/>
    </row>
  </sheetData>
  <mergeCells count="1">
    <mergeCell ref="B1:O1"/>
  </mergeCells>
  <pageMargins left="0.25" right="0.25" top="0.5" bottom="0.25" header="0.5" footer="0.5"/>
  <pageSetup scale="48" orientation="landscape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6FF7F-1609-4939-840A-7D473040E1DA}">
  <sheetPr>
    <pageSetUpPr fitToPage="1"/>
  </sheetPr>
  <dimension ref="A1:AK46"/>
  <sheetViews>
    <sheetView showGridLines="0" topLeftCell="O6" workbookViewId="0">
      <selection activeCell="U36" sqref="U36"/>
    </sheetView>
  </sheetViews>
  <sheetFormatPr defaultColWidth="9.1328125" defaultRowHeight="15.75"/>
  <cols>
    <col min="1" max="1" width="10.73046875" style="29" customWidth="1"/>
    <col min="2" max="2" width="6.73046875" style="29" customWidth="1"/>
    <col min="3" max="3" width="4.86328125" style="29" bestFit="1" customWidth="1"/>
    <col min="4" max="4" width="18.73046875" style="29" bestFit="1" customWidth="1"/>
    <col min="5" max="5" width="4.59765625" style="29" bestFit="1" customWidth="1"/>
    <col min="6" max="6" width="7" style="29" bestFit="1" customWidth="1"/>
    <col min="7" max="7" width="6.86328125" style="29" bestFit="1" customWidth="1"/>
    <col min="8" max="8" width="5.73046875" style="29" bestFit="1" customWidth="1"/>
    <col min="9" max="9" width="8.59765625" style="29" customWidth="1"/>
    <col min="10" max="15" width="8.59765625" style="29" bestFit="1" customWidth="1"/>
    <col min="16" max="16" width="8.3984375" style="29" bestFit="1" customWidth="1"/>
    <col min="17" max="17" width="9.1328125" style="29"/>
    <col min="18" max="18" width="12.265625" style="51" bestFit="1" customWidth="1"/>
    <col min="19" max="19" width="15.73046875" style="51" bestFit="1" customWidth="1"/>
    <col min="20" max="20" width="27.59765625" style="51" bestFit="1" customWidth="1"/>
    <col min="21" max="22" width="8.3984375" style="57" bestFit="1" customWidth="1"/>
    <col min="23" max="23" width="23.73046875" style="57" bestFit="1" customWidth="1"/>
    <col min="24" max="27" width="8.3984375" style="57" bestFit="1" customWidth="1"/>
    <col min="28" max="28" width="15.73046875" style="87" bestFit="1" customWidth="1"/>
    <col min="29" max="29" width="30.59765625" style="87" bestFit="1" customWidth="1"/>
    <col min="30" max="30" width="7.265625" style="87" bestFit="1" customWidth="1"/>
    <col min="31" max="37" width="8.3984375" style="87" bestFit="1" customWidth="1"/>
    <col min="38" max="16384" width="9.1328125" style="29"/>
  </cols>
  <sheetData>
    <row r="1" spans="1:3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51" t="s">
        <v>118</v>
      </c>
      <c r="S1" s="83">
        <v>1.0249999999999999</v>
      </c>
      <c r="T1" s="51"/>
      <c r="U1" s="57"/>
      <c r="V1" s="57"/>
      <c r="W1" s="57"/>
      <c r="X1" s="57"/>
      <c r="Y1" s="57"/>
      <c r="Z1" s="57"/>
      <c r="AA1" s="5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37" s="2" customFormat="1">
      <c r="C2" s="3"/>
      <c r="D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51" t="s">
        <v>119</v>
      </c>
      <c r="S2" s="55" t="s">
        <v>117</v>
      </c>
      <c r="T2" s="51"/>
      <c r="U2" s="57"/>
      <c r="V2" s="57"/>
      <c r="W2" s="57"/>
      <c r="X2" s="57"/>
      <c r="Y2" s="57"/>
      <c r="Z2" s="57"/>
      <c r="AA2" s="5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37" s="2" customFormat="1">
      <c r="A3" s="2" t="s">
        <v>121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51"/>
      <c r="S3" s="51"/>
      <c r="T3" s="51"/>
      <c r="U3" s="57"/>
      <c r="V3" s="57"/>
      <c r="W3" s="57"/>
      <c r="X3" s="57"/>
      <c r="Y3" s="57"/>
      <c r="Z3" s="57"/>
      <c r="AA3" s="57"/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37" s="2" customFormat="1" ht="15" customHeight="1">
      <c r="A4" s="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51"/>
      <c r="S4" s="51"/>
      <c r="T4" s="51"/>
      <c r="U4" s="57"/>
      <c r="V4" s="57"/>
      <c r="W4" s="57"/>
      <c r="X4" s="57"/>
      <c r="Y4" s="57"/>
      <c r="Z4" s="57"/>
      <c r="AA4" s="57"/>
      <c r="AB4" s="95" t="s">
        <v>133</v>
      </c>
      <c r="AC4" s="87"/>
      <c r="AD4" s="87"/>
      <c r="AE4" s="87"/>
      <c r="AF4" s="87"/>
      <c r="AG4" s="87"/>
      <c r="AH4" s="87"/>
      <c r="AI4" s="87"/>
      <c r="AJ4" s="87"/>
      <c r="AK4" s="87"/>
    </row>
    <row r="5" spans="1:37" s="2" customFormat="1" ht="15" customHeight="1">
      <c r="A5" s="81"/>
      <c r="B5" s="3"/>
      <c r="C5" s="4"/>
      <c r="D5" s="81"/>
      <c r="E5" s="81"/>
      <c r="F5" s="85"/>
      <c r="G5" s="9"/>
      <c r="H5" s="9"/>
      <c r="I5" s="10"/>
      <c r="J5" s="9"/>
      <c r="K5" s="9"/>
      <c r="L5" s="9"/>
      <c r="M5" s="9"/>
      <c r="N5" s="9"/>
      <c r="O5" s="4"/>
      <c r="P5" s="7"/>
      <c r="R5" s="51"/>
      <c r="S5" s="51"/>
      <c r="T5" s="51"/>
      <c r="U5" s="82">
        <v>3</v>
      </c>
      <c r="V5" s="82">
        <f>U5+1</f>
        <v>4</v>
      </c>
      <c r="W5" s="82">
        <f t="shared" ref="W5:AA5" si="0">V5+1</f>
        <v>5</v>
      </c>
      <c r="X5" s="82">
        <f t="shared" si="0"/>
        <v>6</v>
      </c>
      <c r="Y5" s="82">
        <f t="shared" si="0"/>
        <v>7</v>
      </c>
      <c r="Z5" s="82">
        <f t="shared" si="0"/>
        <v>8</v>
      </c>
      <c r="AA5" s="82">
        <f t="shared" si="0"/>
        <v>9</v>
      </c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37" s="2" customFormat="1" ht="31.5" customHeight="1">
      <c r="A6" s="45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68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51" t="s">
        <v>80</v>
      </c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  <c r="AB6" s="88" t="s">
        <v>78</v>
      </c>
      <c r="AC6" s="89" t="s">
        <v>14</v>
      </c>
      <c r="AD6" s="88" t="s">
        <v>68</v>
      </c>
      <c r="AE6" s="90" t="s">
        <v>71</v>
      </c>
      <c r="AF6" s="90" t="s">
        <v>72</v>
      </c>
      <c r="AG6" s="90" t="s">
        <v>73</v>
      </c>
      <c r="AH6" s="90" t="s">
        <v>74</v>
      </c>
      <c r="AI6" s="90" t="s">
        <v>75</v>
      </c>
      <c r="AJ6" s="90" t="s">
        <v>76</v>
      </c>
      <c r="AK6" s="90" t="s">
        <v>77</v>
      </c>
    </row>
    <row r="7" spans="1:37" s="2" customFormat="1">
      <c r="A7" s="4" t="s">
        <v>21</v>
      </c>
      <c r="B7" s="4" t="s">
        <v>19</v>
      </c>
      <c r="C7" s="4">
        <v>2</v>
      </c>
      <c r="D7" s="7" t="s">
        <v>22</v>
      </c>
      <c r="E7" s="4">
        <v>336</v>
      </c>
      <c r="F7" s="46" t="s">
        <v>69</v>
      </c>
      <c r="G7" s="4">
        <v>7</v>
      </c>
      <c r="H7" s="4" t="s">
        <v>20</v>
      </c>
      <c r="I7" s="14">
        <f ca="1">U7</f>
        <v>25.614999999999998</v>
      </c>
      <c r="J7" s="14">
        <f t="shared" ref="J7:O8" ca="1" si="1">V7</f>
        <v>26.952000000000002</v>
      </c>
      <c r="K7" s="14">
        <f t="shared" ca="1" si="1"/>
        <v>28.366</v>
      </c>
      <c r="L7" s="14">
        <f t="shared" ca="1" si="1"/>
        <v>29.856000000000002</v>
      </c>
      <c r="M7" s="14">
        <f t="shared" ca="1" si="1"/>
        <v>31.437000000000001</v>
      </c>
      <c r="N7" s="14">
        <f t="shared" ca="1" si="1"/>
        <v>33.094999999999999</v>
      </c>
      <c r="O7" s="14">
        <f t="shared" ca="1" si="1"/>
        <v>34.831000000000003</v>
      </c>
      <c r="P7" s="7"/>
      <c r="R7" s="51" t="s">
        <v>81</v>
      </c>
      <c r="S7" s="55" t="s">
        <v>21</v>
      </c>
      <c r="T7" s="56" t="str">
        <f>D7</f>
        <v>911 Dispatcher</v>
      </c>
      <c r="U7" s="66" cm="1">
        <f t="array" aca="1" ref="U7" ca="1">ROUND(IF($R7="Y",VLOOKUP($S7,INDIRECT($S$2),U$5,0)*INDIRECT($R$1),VLOOKUP($S7,INDIRECT($S$2),U$5,0)),3)</f>
        <v>25.614999999999998</v>
      </c>
      <c r="V7" s="66" cm="1">
        <f t="array" aca="1" ref="V7" ca="1">ROUND(IF($R7="Y",VLOOKUP($S7,INDIRECT($S$2),V$5,0)*INDIRECT($R$1),VLOOKUP($S7,INDIRECT($S$2),V$5,0)),3)</f>
        <v>26.952000000000002</v>
      </c>
      <c r="W7" s="66" cm="1">
        <f t="array" aca="1" ref="W7" ca="1">ROUND(IF($R7="Y",VLOOKUP($S7,INDIRECT($S$2),W$5,0)*INDIRECT($R$1),VLOOKUP($S7,INDIRECT($S$2),W$5,0)),3)</f>
        <v>28.366</v>
      </c>
      <c r="X7" s="66" cm="1">
        <f t="array" aca="1" ref="X7" ca="1">ROUND(IF($R7="Y",VLOOKUP($S7,INDIRECT($S$2),X$5,0)*INDIRECT($R$1),VLOOKUP($S7,INDIRECT($S$2),X$5,0)),3)</f>
        <v>29.856000000000002</v>
      </c>
      <c r="Y7" s="66" cm="1">
        <f t="array" aca="1" ref="Y7" ca="1">ROUND(IF($R7="Y",VLOOKUP($S7,INDIRECT($S$2),Y$5,0)*INDIRECT($R$1),VLOOKUP($S7,INDIRECT($S$2),Y$5,0)),3)</f>
        <v>31.437000000000001</v>
      </c>
      <c r="Z7" s="66" cm="1">
        <f t="array" aca="1" ref="Z7" ca="1">ROUND(IF($R7="Y",VLOOKUP($S7,INDIRECT($S$2),Z$5,0)*INDIRECT($R$1),VLOOKUP($S7,INDIRECT($S$2),Z$5,0)),3)</f>
        <v>33.094999999999999</v>
      </c>
      <c r="AA7" s="66" cm="1">
        <f t="array" aca="1" ref="AA7" ca="1">ROUND(IF($R7="Y",VLOOKUP($S7,INDIRECT($S$2),AA$5,0)*INDIRECT($R$1),VLOOKUP($S7,INDIRECT($S$2),AA$5,0)),3)</f>
        <v>34.831000000000003</v>
      </c>
      <c r="AB7" s="87" t="str">
        <f>S7</f>
        <v>00011C</v>
      </c>
      <c r="AC7" s="87" t="str">
        <f>T7</f>
        <v>911 Dispatcher</v>
      </c>
      <c r="AD7" s="96" t="str">
        <f>F7</f>
        <v>02</v>
      </c>
      <c r="AE7" s="91">
        <f ca="1">ROUND(U7,3)</f>
        <v>25.614999999999998</v>
      </c>
      <c r="AF7" s="91">
        <f t="shared" ref="AF7:AK7" ca="1" si="2">ROUND(V7,3)</f>
        <v>26.952000000000002</v>
      </c>
      <c r="AG7" s="91">
        <f t="shared" ca="1" si="2"/>
        <v>28.366</v>
      </c>
      <c r="AH7" s="91">
        <f t="shared" ca="1" si="2"/>
        <v>29.856000000000002</v>
      </c>
      <c r="AI7" s="91">
        <f t="shared" ca="1" si="2"/>
        <v>31.437000000000001</v>
      </c>
      <c r="AJ7" s="91">
        <f t="shared" ca="1" si="2"/>
        <v>33.094999999999999</v>
      </c>
      <c r="AK7" s="91">
        <f t="shared" ca="1" si="2"/>
        <v>34.831000000000003</v>
      </c>
    </row>
    <row r="8" spans="1:37" s="2" customFormat="1">
      <c r="A8" s="4" t="s">
        <v>113</v>
      </c>
      <c r="B8" s="4" t="s">
        <v>19</v>
      </c>
      <c r="C8" s="4">
        <v>2</v>
      </c>
      <c r="D8" s="7" t="s">
        <v>115</v>
      </c>
      <c r="E8" s="4">
        <v>308</v>
      </c>
      <c r="F8" s="46" t="s">
        <v>132</v>
      </c>
      <c r="G8" s="4">
        <v>6</v>
      </c>
      <c r="H8" s="4" t="s">
        <v>20</v>
      </c>
      <c r="I8" s="14">
        <f ca="1">U8</f>
        <v>23.867000000000001</v>
      </c>
      <c r="J8" s="14">
        <f t="shared" ca="1" si="1"/>
        <v>25.126999999999999</v>
      </c>
      <c r="K8" s="14">
        <f t="shared" ca="1" si="1"/>
        <v>26.45</v>
      </c>
      <c r="L8" s="14">
        <f t="shared" ca="1" si="1"/>
        <v>27.838000000000001</v>
      </c>
      <c r="M8" s="14">
        <f t="shared" ca="1" si="1"/>
        <v>29.305</v>
      </c>
      <c r="N8" s="14">
        <f t="shared" ca="1" si="1"/>
        <v>30.846</v>
      </c>
      <c r="O8" s="14">
        <f t="shared" ca="1" si="1"/>
        <v>32.466000000000001</v>
      </c>
      <c r="P8" s="7"/>
      <c r="R8" s="51" t="s">
        <v>81</v>
      </c>
      <c r="S8" s="55" t="s">
        <v>113</v>
      </c>
      <c r="T8" s="56" t="str">
        <f>D8</f>
        <v>911 Call Taker</v>
      </c>
      <c r="U8" s="66" cm="1">
        <f t="array" aca="1" ref="U8" ca="1">ROUND(IF($R8="Y",VLOOKUP($S8,INDIRECT($S$2),U$5,0)*INDIRECT($R$1),VLOOKUP($S8,INDIRECT($S$2),U$5,0)),3)</f>
        <v>23.867000000000001</v>
      </c>
      <c r="V8" s="66" cm="1">
        <f t="array" aca="1" ref="V8" ca="1">ROUND(IF($R8="Y",VLOOKUP($S8,INDIRECT($S$2),V$5,0)*INDIRECT($R$1),VLOOKUP($S8,INDIRECT($S$2),V$5,0)),3)</f>
        <v>25.126999999999999</v>
      </c>
      <c r="W8" s="66" cm="1">
        <f t="array" aca="1" ref="W8" ca="1">ROUND(IF($R8="Y",VLOOKUP($S8,INDIRECT($S$2),W$5,0)*INDIRECT($R$1),VLOOKUP($S8,INDIRECT($S$2),W$5,0)),3)</f>
        <v>26.45</v>
      </c>
      <c r="X8" s="66" cm="1">
        <f t="array" aca="1" ref="X8" ca="1">ROUND(IF($R8="Y",VLOOKUP($S8,INDIRECT($S$2),X$5,0)*INDIRECT($R$1),VLOOKUP($S8,INDIRECT($S$2),X$5,0)),3)</f>
        <v>27.838000000000001</v>
      </c>
      <c r="Y8" s="66" cm="1">
        <f t="array" aca="1" ref="Y8" ca="1">ROUND(IF($R8="Y",VLOOKUP($S8,INDIRECT($S$2),Y$5,0)*INDIRECT($R$1),VLOOKUP($S8,INDIRECT($S$2),Y$5,0)),3)</f>
        <v>29.305</v>
      </c>
      <c r="Z8" s="66" cm="1">
        <f t="array" aca="1" ref="Z8" ca="1">ROUND(IF($R8="Y",VLOOKUP($S8,INDIRECT($S$2),Z$5,0)*INDIRECT($R$1),VLOOKUP($S8,INDIRECT($S$2),Z$5,0)),3)</f>
        <v>30.846</v>
      </c>
      <c r="AA8" s="66" cm="1">
        <f t="array" aca="1" ref="AA8" ca="1">ROUND(IF($R8="Y",VLOOKUP($S8,INDIRECT($S$2),AA$5,0)*INDIRECT($R$1),VLOOKUP($S8,INDIRECT($S$2),AA$5,0)),3)</f>
        <v>32.466000000000001</v>
      </c>
      <c r="AB8" s="87" t="str">
        <f>S8</f>
        <v>00020C</v>
      </c>
      <c r="AC8" s="87" t="str">
        <f>T8</f>
        <v>911 Call Taker</v>
      </c>
      <c r="AD8" s="96" t="str">
        <f>F8</f>
        <v>01</v>
      </c>
      <c r="AE8" s="91">
        <f ca="1">ROUND(U8,3)</f>
        <v>23.867000000000001</v>
      </c>
      <c r="AF8" s="91">
        <f t="shared" ref="AF8" ca="1" si="3">ROUND(V8,3)</f>
        <v>25.126999999999999</v>
      </c>
      <c r="AG8" s="91">
        <f t="shared" ref="AG8" ca="1" si="4">ROUND(W8,3)</f>
        <v>26.45</v>
      </c>
      <c r="AH8" s="91">
        <f t="shared" ref="AH8" ca="1" si="5">ROUND(X8,3)</f>
        <v>27.838000000000001</v>
      </c>
      <c r="AI8" s="91">
        <f t="shared" ref="AI8" ca="1" si="6">ROUND(Y8,3)</f>
        <v>29.305</v>
      </c>
      <c r="AJ8" s="91">
        <f t="shared" ref="AJ8" ca="1" si="7">ROUND(Z8,3)</f>
        <v>30.846</v>
      </c>
      <c r="AK8" s="91">
        <f t="shared" ref="AK8" ca="1" si="8">ROUND(AA8,3)</f>
        <v>32.466000000000001</v>
      </c>
    </row>
    <row r="9" spans="1:37" s="7" customFormat="1" ht="16.149999999999999" thickBot="1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R9" s="58"/>
      <c r="S9" s="58"/>
      <c r="T9" s="58"/>
      <c r="U9" s="59"/>
      <c r="V9" s="59"/>
      <c r="W9" s="59"/>
      <c r="X9" s="59"/>
      <c r="Y9" s="59"/>
      <c r="Z9" s="59"/>
      <c r="AA9" s="59"/>
      <c r="AB9" s="92"/>
      <c r="AC9" s="92"/>
      <c r="AD9" s="92"/>
      <c r="AE9" s="92"/>
      <c r="AF9" s="92"/>
      <c r="AG9" s="92"/>
      <c r="AH9" s="92"/>
      <c r="AI9" s="92"/>
      <c r="AJ9" s="92"/>
      <c r="AK9" s="92"/>
    </row>
    <row r="10" spans="1:37" s="2" customFormat="1">
      <c r="A10" s="81" t="s">
        <v>56</v>
      </c>
      <c r="B10" s="4"/>
      <c r="C10" s="4"/>
      <c r="E10" s="4"/>
      <c r="F10" s="4"/>
      <c r="G10" s="4"/>
      <c r="H10" s="4"/>
      <c r="I10" s="4"/>
      <c r="J10" s="4"/>
      <c r="K10" s="4"/>
      <c r="L10" s="4"/>
      <c r="P10" s="7"/>
      <c r="R10" s="51"/>
      <c r="S10" s="51"/>
      <c r="T10" s="51"/>
      <c r="U10" s="57"/>
      <c r="V10" s="57"/>
      <c r="W10" s="57"/>
      <c r="X10" s="57"/>
      <c r="Y10" s="57"/>
      <c r="Z10" s="57"/>
      <c r="AA10" s="57"/>
      <c r="AB10" s="87"/>
      <c r="AC10" s="87"/>
      <c r="AD10" s="87"/>
      <c r="AE10" s="87"/>
      <c r="AF10" s="87"/>
      <c r="AG10" s="87"/>
      <c r="AH10" s="87"/>
      <c r="AI10" s="87"/>
      <c r="AJ10" s="87"/>
      <c r="AK10" s="87"/>
    </row>
    <row r="11" spans="1:37" s="2" customFormat="1">
      <c r="A11" s="2" t="str">
        <f ca="1">"In addition to their base rate of pay, employees shall be paid "&amp;TEXT(U11,"$0.000")&amp; " per hour for all hours worked on any shift that begins"</f>
        <v>In addition to their base rate of pay, employees shall be paid $0.513 per hour for all hours worked on any shift that begins</v>
      </c>
      <c r="B11" s="4"/>
      <c r="C11" s="4"/>
      <c r="E11" s="4"/>
      <c r="F11" s="4"/>
      <c r="G11" s="4"/>
      <c r="I11" s="36"/>
      <c r="J11" s="3"/>
      <c r="K11" s="3"/>
      <c r="L11" s="3"/>
      <c r="M11" s="3"/>
      <c r="N11" s="3"/>
      <c r="P11" s="7"/>
      <c r="R11" s="51" t="s">
        <v>81</v>
      </c>
      <c r="S11" s="60" t="s">
        <v>82</v>
      </c>
      <c r="T11" s="60" t="s">
        <v>83</v>
      </c>
      <c r="U11" s="57" cm="1">
        <f t="array" aca="1" ref="U11" ca="1">ROUND(IF($R11="Y",VLOOKUP($S11,INDIRECT($S$2),U$5,0)*INDIRECT($R$1),VLOOKUP($S11,INDIRECT($S$2),U$5,0)),3)</f>
        <v>0.51300000000000001</v>
      </c>
      <c r="V11" s="57"/>
      <c r="W11" s="57"/>
      <c r="X11" s="61"/>
      <c r="Y11" s="57"/>
      <c r="Z11" s="57"/>
      <c r="AA11" s="57"/>
      <c r="AB11" s="87" t="str">
        <f>S11</f>
        <v>CMNEVE</v>
      </c>
      <c r="AC11" s="87" t="str">
        <f>T11</f>
        <v>TL-Evening Shift Premium-CMN</v>
      </c>
      <c r="AD11" s="91">
        <f ca="1">U11</f>
        <v>0.51300000000000001</v>
      </c>
      <c r="AE11" s="87"/>
      <c r="AF11" s="87"/>
      <c r="AG11" s="87"/>
      <c r="AH11" s="87"/>
      <c r="AI11" s="87"/>
      <c r="AJ11" s="87"/>
      <c r="AK11" s="87"/>
    </row>
    <row r="12" spans="1:37" s="2" customFormat="1">
      <c r="A12" s="2" t="s">
        <v>53</v>
      </c>
      <c r="P12" s="7"/>
      <c r="R12" s="51"/>
      <c r="S12" s="51"/>
      <c r="T12" s="51"/>
      <c r="U12" s="57"/>
      <c r="V12" s="57"/>
      <c r="W12" s="57"/>
      <c r="X12" s="57"/>
      <c r="Y12" s="57"/>
      <c r="Z12" s="57"/>
      <c r="AA12" s="57"/>
      <c r="AB12" s="87"/>
      <c r="AC12" s="87"/>
      <c r="AD12" s="91"/>
      <c r="AE12" s="87"/>
      <c r="AF12" s="87"/>
      <c r="AG12" s="87"/>
      <c r="AH12" s="87"/>
      <c r="AI12" s="87"/>
      <c r="AJ12" s="87"/>
      <c r="AK12" s="87"/>
    </row>
    <row r="13" spans="1:37" s="2" customFormat="1">
      <c r="P13" s="7"/>
      <c r="R13" s="51"/>
      <c r="S13" s="51"/>
      <c r="T13" s="51"/>
      <c r="U13" s="57"/>
      <c r="V13" s="57"/>
      <c r="W13" s="57"/>
      <c r="X13" s="57"/>
      <c r="Y13" s="57"/>
      <c r="Z13" s="57"/>
      <c r="AA13" s="57"/>
      <c r="AB13" s="87"/>
      <c r="AC13" s="87"/>
      <c r="AD13" s="91"/>
      <c r="AE13" s="87"/>
      <c r="AF13" s="87"/>
      <c r="AG13" s="87"/>
      <c r="AH13" s="87"/>
      <c r="AI13" s="87"/>
      <c r="AJ13" s="87"/>
      <c r="AK13" s="87"/>
    </row>
    <row r="14" spans="1:37" s="2" customFormat="1">
      <c r="A14" s="2" t="str">
        <f ca="1">"In addition to their base rate of pay, employees shall be paid "&amp;TEXT(U14,"$0.000")&amp;" per hour for all hours worked on any shift that begins"</f>
        <v>In addition to their base rate of pay, employees shall be paid $1.219 per hour for all hours worked on any shift that begins</v>
      </c>
      <c r="I14" s="36"/>
      <c r="P14" s="7"/>
      <c r="R14" s="51" t="s">
        <v>81</v>
      </c>
      <c r="S14" s="60" t="s">
        <v>84</v>
      </c>
      <c r="T14" s="60" t="s">
        <v>85</v>
      </c>
      <c r="U14" s="57" cm="1">
        <f t="array" aca="1" ref="U14" ca="1">ROUND(IF($R14="Y",VLOOKUP($S14,INDIRECT($S$2),U$5,0)*INDIRECT($R$1),VLOOKUP($S14,INDIRECT($S$2),U$5,0)),3)</f>
        <v>1.2190000000000001</v>
      </c>
      <c r="V14" s="57"/>
      <c r="W14" s="57"/>
      <c r="X14" s="57"/>
      <c r="Y14" s="57"/>
      <c r="Z14" s="57"/>
      <c r="AA14" s="57"/>
      <c r="AB14" s="87" t="str">
        <f t="shared" ref="AB14" si="9">S14</f>
        <v>CMNNIT</v>
      </c>
      <c r="AC14" s="87" t="str">
        <f t="shared" ref="AC14" si="10">T14</f>
        <v>TL-Night Shift Premium-CMN</v>
      </c>
      <c r="AD14" s="91">
        <f t="shared" ref="AD14" ca="1" si="11">U14</f>
        <v>1.2190000000000001</v>
      </c>
      <c r="AE14" s="87"/>
      <c r="AF14" s="87"/>
      <c r="AG14" s="87"/>
      <c r="AH14" s="87"/>
      <c r="AI14" s="87"/>
      <c r="AJ14" s="87"/>
      <c r="AK14" s="87"/>
    </row>
    <row r="15" spans="1:37" s="2" customFormat="1">
      <c r="A15" s="2" t="s">
        <v>95</v>
      </c>
      <c r="B15" s="4"/>
      <c r="C15" s="4"/>
      <c r="E15" s="4"/>
      <c r="F15" s="4"/>
      <c r="G15" s="4"/>
      <c r="H15" s="4"/>
      <c r="I15" s="4"/>
      <c r="J15" s="4"/>
      <c r="K15" s="4"/>
      <c r="L15" s="4"/>
      <c r="P15" s="7"/>
      <c r="R15" s="51"/>
      <c r="S15" s="51"/>
      <c r="T15" s="51"/>
      <c r="U15" s="57"/>
      <c r="V15" s="57"/>
      <c r="W15" s="57"/>
      <c r="X15" s="57"/>
      <c r="Y15" s="57"/>
      <c r="Z15" s="57"/>
      <c r="AA15" s="57"/>
      <c r="AB15" s="87"/>
      <c r="AC15" s="87"/>
      <c r="AD15" s="87"/>
      <c r="AE15" s="87"/>
      <c r="AF15" s="87"/>
      <c r="AG15" s="87"/>
      <c r="AH15" s="87"/>
      <c r="AI15" s="87"/>
      <c r="AJ15" s="87"/>
      <c r="AK15" s="87"/>
    </row>
    <row r="16" spans="1:37" s="2" customFormat="1">
      <c r="B16" s="4"/>
      <c r="C16" s="4"/>
      <c r="E16" s="4"/>
      <c r="F16" s="4"/>
      <c r="G16" s="4"/>
      <c r="H16" s="4"/>
      <c r="I16" s="4"/>
      <c r="J16" s="4"/>
      <c r="K16" s="4"/>
      <c r="L16" s="4"/>
      <c r="P16" s="7"/>
      <c r="R16" s="51"/>
      <c r="S16" s="70" t="s">
        <v>145</v>
      </c>
      <c r="T16" s="51"/>
      <c r="U16" s="51"/>
      <c r="V16" s="51"/>
      <c r="W16" s="57"/>
      <c r="X16" s="57"/>
      <c r="Y16" s="57"/>
      <c r="Z16" s="57"/>
      <c r="AA16" s="57"/>
      <c r="AB16" s="100" t="s">
        <v>145</v>
      </c>
      <c r="AC16" s="101"/>
      <c r="AD16" s="101"/>
      <c r="AE16" s="87"/>
      <c r="AF16" s="87"/>
      <c r="AG16" s="87"/>
      <c r="AH16" s="87"/>
      <c r="AI16" s="87"/>
      <c r="AJ16" s="87"/>
      <c r="AK16" s="87"/>
    </row>
    <row r="17" spans="1:37" s="2" customFormat="1">
      <c r="A17" s="2" t="s">
        <v>24</v>
      </c>
      <c r="P17" s="7"/>
      <c r="R17" s="51" t="s">
        <v>81</v>
      </c>
      <c r="S17" s="51" t="s">
        <v>137</v>
      </c>
      <c r="T17" s="99" t="s">
        <v>147</v>
      </c>
      <c r="U17" s="57" cm="1">
        <f t="array" aca="1" ref="U17" ca="1">ROUND(IF($R17="Y",VLOOKUP($S17,INDIRECT($S$2),U$5,0)*INDIRECT($R$1),VLOOKUP($S17,INDIRECT($S$2),U$5,0)),3)</f>
        <v>1.2190000000000001</v>
      </c>
      <c r="V17" s="51"/>
      <c r="W17" s="99"/>
      <c r="X17" s="57"/>
      <c r="Y17" s="57"/>
      <c r="Z17" s="57"/>
      <c r="AA17" s="57"/>
      <c r="AB17" s="101" t="str">
        <f>S17</f>
        <v>NBF</v>
      </c>
      <c r="AC17" s="102" t="str">
        <f>T17</f>
        <v>Higher shift rate</v>
      </c>
      <c r="AD17" s="103">
        <f ca="1">U17</f>
        <v>1.2190000000000001</v>
      </c>
      <c r="AE17" s="87"/>
      <c r="AF17" s="87"/>
      <c r="AG17" s="87"/>
      <c r="AH17" s="87"/>
      <c r="AI17" s="87"/>
      <c r="AJ17" s="87"/>
      <c r="AK17" s="87"/>
    </row>
    <row r="18" spans="1:37" s="2" customFormat="1">
      <c r="A18" s="2" t="s">
        <v>25</v>
      </c>
      <c r="P18" s="7"/>
      <c r="R18" s="51" t="s">
        <v>81</v>
      </c>
      <c r="S18" s="51" t="s">
        <v>138</v>
      </c>
      <c r="T18" s="51" t="s">
        <v>148</v>
      </c>
      <c r="U18" s="57" cm="1">
        <f t="array" aca="1" ref="U18" ca="1">ROUND(IF($R18="Y",VLOOKUP($S18,INDIRECT($S$2),U$5,0)*INDIRECT($R$1),VLOOKUP($S18,INDIRECT($S$2),U$5,0)),3)</f>
        <v>1.8280000000000001</v>
      </c>
      <c r="V18" s="51"/>
      <c r="W18" s="51"/>
      <c r="X18" s="57"/>
      <c r="Y18" s="57"/>
      <c r="Z18" s="57"/>
      <c r="AA18" s="57"/>
      <c r="AB18" s="101" t="str">
        <f t="shared" ref="AB18:AB22" si="12">S18</f>
        <v>NBT</v>
      </c>
      <c r="AC18" s="102" t="str">
        <f t="shared" ref="AC18:AD22" si="13">T18</f>
        <v>Higher shift rate x 1.5</v>
      </c>
      <c r="AD18" s="103">
        <f t="shared" ca="1" si="13"/>
        <v>1.8280000000000001</v>
      </c>
      <c r="AE18" s="87"/>
      <c r="AF18" s="87"/>
      <c r="AG18" s="87"/>
      <c r="AH18" s="87"/>
      <c r="AI18" s="87"/>
      <c r="AJ18" s="87"/>
      <c r="AK18" s="87"/>
    </row>
    <row r="19" spans="1:37" s="2" customFormat="1">
      <c r="A19" s="2" t="s">
        <v>26</v>
      </c>
      <c r="P19" s="7"/>
      <c r="R19" s="51" t="s">
        <v>81</v>
      </c>
      <c r="S19" s="51" t="s">
        <v>139</v>
      </c>
      <c r="T19" s="51" t="s">
        <v>146</v>
      </c>
      <c r="U19" s="57" cm="1">
        <f t="array" aca="1" ref="U19" ca="1">ROUND(IF($R19="Y",VLOOKUP($S19,INDIRECT($S$2),U$5,0)*INDIRECT($R$1),VLOOKUP($S19,INDIRECT($S$2),U$5,0)),3)</f>
        <v>2.4369999999999998</v>
      </c>
      <c r="V19" s="51"/>
      <c r="W19" s="51"/>
      <c r="X19" s="57"/>
      <c r="Y19" s="57"/>
      <c r="Z19" s="57"/>
      <c r="AA19" s="57"/>
      <c r="AB19" s="101" t="str">
        <f t="shared" si="12"/>
        <v>NBG</v>
      </c>
      <c r="AC19" s="102" t="str">
        <f t="shared" si="13"/>
        <v>Higher shift rate x 2.0</v>
      </c>
      <c r="AD19" s="103">
        <f t="shared" ca="1" si="13"/>
        <v>2.4369999999999998</v>
      </c>
      <c r="AE19" s="87"/>
      <c r="AF19" s="87"/>
      <c r="AG19" s="87"/>
      <c r="AH19" s="87"/>
      <c r="AI19" s="87"/>
      <c r="AJ19" s="87"/>
      <c r="AK19" s="87"/>
    </row>
    <row r="20" spans="1:3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51" t="s">
        <v>81</v>
      </c>
      <c r="S20" s="51" t="s">
        <v>134</v>
      </c>
      <c r="T20" s="51" t="s">
        <v>149</v>
      </c>
      <c r="U20" s="57" cm="1">
        <f t="array" aca="1" ref="U20" ca="1">ROUND(IF($R20="Y",VLOOKUP($S20,INDIRECT($S$2),U$5,0)*INDIRECT($R$1),VLOOKUP($S20,INDIRECT($S$2),U$5,0)),3)</f>
        <v>0.51300000000000001</v>
      </c>
      <c r="V20" s="51"/>
      <c r="W20" s="51"/>
      <c r="X20" s="57"/>
      <c r="Y20" s="57"/>
      <c r="Z20" s="57"/>
      <c r="AA20" s="57"/>
      <c r="AB20" s="101" t="str">
        <f t="shared" si="12"/>
        <v>NFF</v>
      </c>
      <c r="AC20" s="102" t="str">
        <f t="shared" si="13"/>
        <v>Lower shift rate</v>
      </c>
      <c r="AD20" s="103">
        <f t="shared" ca="1" si="13"/>
        <v>0.51300000000000001</v>
      </c>
      <c r="AE20" s="87"/>
      <c r="AF20" s="87"/>
      <c r="AG20" s="87"/>
      <c r="AH20" s="87"/>
      <c r="AI20" s="87"/>
      <c r="AJ20" s="87"/>
      <c r="AK20" s="87"/>
    </row>
    <row r="21" spans="1:37" s="2" customForma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51" t="s">
        <v>81</v>
      </c>
      <c r="S21" s="51" t="s">
        <v>135</v>
      </c>
      <c r="T21" s="51" t="s">
        <v>150</v>
      </c>
      <c r="U21" s="57" cm="1">
        <f t="array" aca="1" ref="U21" ca="1">ROUND(IF($R21="Y",VLOOKUP($S21,INDIRECT($S$2),U$5,0)*INDIRECT($R$1),VLOOKUP($S21,INDIRECT($S$2),U$5,0)),3)</f>
        <v>0.76900000000000002</v>
      </c>
      <c r="V21" s="51"/>
      <c r="W21" s="51"/>
      <c r="X21" s="57"/>
      <c r="Y21" s="57"/>
      <c r="Z21" s="57"/>
      <c r="AA21" s="57"/>
      <c r="AB21" s="101" t="str">
        <f t="shared" si="12"/>
        <v>NFT</v>
      </c>
      <c r="AC21" s="102" t="str">
        <f t="shared" si="13"/>
        <v>Lower shift rate x 1.5</v>
      </c>
      <c r="AD21" s="103">
        <f t="shared" ca="1" si="13"/>
        <v>0.76900000000000002</v>
      </c>
      <c r="AE21" s="87"/>
      <c r="AF21" s="87"/>
      <c r="AG21" s="87"/>
      <c r="AH21" s="87"/>
      <c r="AI21" s="87"/>
      <c r="AJ21" s="87"/>
      <c r="AK21" s="87"/>
    </row>
    <row r="22" spans="1:3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51" t="s">
        <v>81</v>
      </c>
      <c r="S22" s="51" t="s">
        <v>136</v>
      </c>
      <c r="T22" s="51" t="s">
        <v>151</v>
      </c>
      <c r="U22" s="57" cm="1">
        <f t="array" aca="1" ref="U22" ca="1">ROUND(IF($R22="Y",VLOOKUP($S22,INDIRECT($S$2),U$5,0)*INDIRECT($R$1),VLOOKUP($S22,INDIRECT($S$2),U$5,0)),3)</f>
        <v>1.0249999999999999</v>
      </c>
      <c r="V22" s="51"/>
      <c r="W22" s="51"/>
      <c r="X22" s="57"/>
      <c r="Y22" s="57"/>
      <c r="Z22" s="57"/>
      <c r="AA22" s="57"/>
      <c r="AB22" s="101" t="str">
        <f t="shared" si="12"/>
        <v>NFG</v>
      </c>
      <c r="AC22" s="102" t="str">
        <f t="shared" si="13"/>
        <v>Lower shift rate x 2.0</v>
      </c>
      <c r="AD22" s="103">
        <f t="shared" ca="1" si="13"/>
        <v>1.0249999999999999</v>
      </c>
      <c r="AE22" s="87"/>
      <c r="AF22" s="87"/>
      <c r="AG22" s="87"/>
      <c r="AH22" s="87"/>
      <c r="AI22" s="87"/>
      <c r="AJ22" s="87"/>
      <c r="AK22" s="87"/>
    </row>
    <row r="23" spans="1:37" s="2" customFormat="1">
      <c r="B23" s="1"/>
      <c r="C23" s="1"/>
      <c r="D23" s="7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51"/>
      <c r="S23" s="51"/>
      <c r="T23" s="51"/>
      <c r="U23" s="57"/>
      <c r="V23" s="57"/>
      <c r="W23" s="57"/>
      <c r="X23" s="57"/>
      <c r="Y23" s="57"/>
      <c r="Z23" s="57"/>
      <c r="AA23" s="57"/>
      <c r="AB23" s="87"/>
      <c r="AC23" s="87"/>
      <c r="AD23" s="87"/>
      <c r="AE23" s="87"/>
      <c r="AF23" s="87"/>
      <c r="AG23" s="87"/>
      <c r="AH23" s="87"/>
      <c r="AI23" s="87"/>
      <c r="AJ23" s="87"/>
      <c r="AK23" s="87"/>
    </row>
    <row r="24" spans="1:3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51"/>
      <c r="S24" s="51"/>
      <c r="T24" s="51"/>
      <c r="U24" s="57"/>
      <c r="V24" s="57"/>
      <c r="W24" s="57"/>
      <c r="X24" s="57"/>
      <c r="Y24" s="57"/>
      <c r="Z24" s="57"/>
      <c r="AA24" s="57"/>
      <c r="AB24" s="87"/>
      <c r="AC24" s="87"/>
      <c r="AD24" s="87"/>
      <c r="AE24" s="87"/>
      <c r="AF24" s="87"/>
      <c r="AG24" s="87"/>
      <c r="AH24" s="87"/>
      <c r="AI24" s="87"/>
      <c r="AJ24" s="87"/>
      <c r="AK24" s="87"/>
    </row>
    <row r="25" spans="1:3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51"/>
      <c r="S25" s="51"/>
      <c r="T25" s="51"/>
      <c r="U25" s="57"/>
      <c r="V25" s="57"/>
      <c r="W25" s="57"/>
      <c r="X25" s="57"/>
      <c r="Y25" s="57"/>
      <c r="Z25" s="57"/>
      <c r="AA25" s="5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1:37" s="2" customFormat="1">
      <c r="A26" s="86" t="s">
        <v>28</v>
      </c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7"/>
      <c r="N26" s="7"/>
      <c r="O26" s="7"/>
      <c r="P26" s="7"/>
      <c r="R26" s="51"/>
      <c r="S26" s="51"/>
      <c r="T26" s="51"/>
      <c r="U26" s="57"/>
      <c r="V26" s="57"/>
      <c r="W26" s="57"/>
      <c r="X26" s="57"/>
      <c r="Y26" s="57"/>
      <c r="Z26" s="57"/>
      <c r="AA26" s="57"/>
      <c r="AB26" s="87"/>
      <c r="AC26" s="87"/>
      <c r="AD26" s="87"/>
      <c r="AE26" s="87"/>
      <c r="AF26" s="87"/>
      <c r="AG26" s="87"/>
      <c r="AH26" s="87"/>
      <c r="AI26" s="87"/>
      <c r="AJ26" s="87"/>
      <c r="AK26" s="87"/>
    </row>
    <row r="27" spans="1:37" s="2" customFormat="1">
      <c r="A27" s="2" t="s">
        <v>29</v>
      </c>
      <c r="J27" s="4"/>
      <c r="K27" s="4"/>
      <c r="L27" s="4"/>
      <c r="P27" s="7"/>
      <c r="R27" s="51"/>
      <c r="S27" s="70" t="s">
        <v>93</v>
      </c>
      <c r="T27" s="51"/>
      <c r="U27" s="57"/>
      <c r="V27" s="57"/>
      <c r="W27" s="57"/>
      <c r="X27" s="57"/>
      <c r="Y27" s="57"/>
      <c r="Z27" s="57"/>
      <c r="AA27" s="57"/>
      <c r="AB27" s="93" t="s">
        <v>93</v>
      </c>
      <c r="AC27" s="87"/>
      <c r="AD27" s="87"/>
      <c r="AE27" s="87"/>
      <c r="AF27" s="87"/>
      <c r="AG27" s="87"/>
      <c r="AH27" s="87"/>
      <c r="AI27" s="87"/>
      <c r="AJ27" s="87"/>
      <c r="AK27" s="87"/>
    </row>
    <row r="28" spans="1:37" s="2" customFormat="1">
      <c r="A28" s="24">
        <f ca="1">U28</f>
        <v>0.41599999999999998</v>
      </c>
      <c r="B28" s="2" t="s">
        <v>30</v>
      </c>
      <c r="J28" s="4"/>
      <c r="K28" s="4"/>
      <c r="L28" s="4"/>
      <c r="P28" s="7"/>
      <c r="R28" s="51" t="s">
        <v>81</v>
      </c>
      <c r="S28" s="51" t="s">
        <v>86</v>
      </c>
      <c r="T28" s="51"/>
      <c r="U28" s="57" cm="1">
        <f t="array" aca="1" ref="U28" ca="1">ROUND(IF($R28="Y",VLOOKUP($S28,INDIRECT($S$2),U$5,0)*INDIRECT($R$1),VLOOKUP($S28,INDIRECT($S$2),U$5,0)),3)</f>
        <v>0.41599999999999998</v>
      </c>
      <c r="V28" s="57"/>
      <c r="W28" s="57"/>
      <c r="X28" s="57"/>
      <c r="Y28" s="57"/>
      <c r="Z28" s="57"/>
      <c r="AA28" s="57"/>
      <c r="AB28" s="87" t="str">
        <f>S28</f>
        <v>10th Year</v>
      </c>
      <c r="AC28" s="87"/>
      <c r="AD28" s="91">
        <f ca="1">U28</f>
        <v>0.41599999999999998</v>
      </c>
      <c r="AE28" s="87"/>
      <c r="AF28" s="87"/>
      <c r="AG28" s="87"/>
      <c r="AH28" s="87"/>
      <c r="AI28" s="87"/>
      <c r="AJ28" s="87"/>
      <c r="AK28" s="87"/>
    </row>
    <row r="29" spans="1:37" s="2" customFormat="1">
      <c r="A29" s="24">
        <f ca="1">U29</f>
        <v>0.53600000000000003</v>
      </c>
      <c r="B29" s="2" t="s">
        <v>31</v>
      </c>
      <c r="J29" s="4"/>
      <c r="K29" s="4"/>
      <c r="L29" s="4"/>
      <c r="P29" s="7"/>
      <c r="R29" s="51" t="s">
        <v>81</v>
      </c>
      <c r="S29" s="51" t="s">
        <v>87</v>
      </c>
      <c r="T29" s="51"/>
      <c r="U29" s="57" cm="1">
        <f t="array" aca="1" ref="U29" ca="1">ROUND(IF($R29="Y",VLOOKUP($S29,INDIRECT($S$2),U$5,0)*INDIRECT($R$1),VLOOKUP($S29,INDIRECT($S$2),U$5,0)),3)</f>
        <v>0.53600000000000003</v>
      </c>
      <c r="V29" s="57"/>
      <c r="W29" s="57"/>
      <c r="X29" s="57"/>
      <c r="Y29" s="57"/>
      <c r="Z29" s="57"/>
      <c r="AA29" s="57"/>
      <c r="AB29" s="87" t="str">
        <f t="shared" ref="AB29:AB31" si="14">S29</f>
        <v>15th Year</v>
      </c>
      <c r="AC29" s="87"/>
      <c r="AD29" s="91">
        <f t="shared" ref="AD29:AD31" ca="1" si="15">U29</f>
        <v>0.53600000000000003</v>
      </c>
      <c r="AE29" s="87"/>
      <c r="AF29" s="87"/>
      <c r="AG29" s="87"/>
      <c r="AH29" s="87"/>
      <c r="AI29" s="87"/>
      <c r="AJ29" s="87"/>
      <c r="AK29" s="87"/>
    </row>
    <row r="30" spans="1:37" s="2" customFormat="1">
      <c r="A30" s="24">
        <f ca="1">U30</f>
        <v>0.65700000000000003</v>
      </c>
      <c r="B30" s="2" t="s">
        <v>32</v>
      </c>
      <c r="J30" s="4"/>
      <c r="K30" s="4"/>
      <c r="L30" s="4"/>
      <c r="P30" s="7"/>
      <c r="R30" s="51" t="s">
        <v>81</v>
      </c>
      <c r="S30" s="51" t="s">
        <v>88</v>
      </c>
      <c r="T30" s="51"/>
      <c r="U30" s="57" cm="1">
        <f t="array" aca="1" ref="U30" ca="1">ROUND(IF($R30="Y",VLOOKUP($S30,INDIRECT($S$2),U$5,0)*INDIRECT($R$1),VLOOKUP($S30,INDIRECT($S$2),U$5,0)),3)</f>
        <v>0.65700000000000003</v>
      </c>
      <c r="V30" s="57"/>
      <c r="W30" s="57"/>
      <c r="X30" s="57"/>
      <c r="Y30" s="57"/>
      <c r="Z30" s="57"/>
      <c r="AA30" s="57"/>
      <c r="AB30" s="87" t="str">
        <f t="shared" si="14"/>
        <v>20th Year</v>
      </c>
      <c r="AC30" s="87"/>
      <c r="AD30" s="91">
        <f t="shared" ca="1" si="15"/>
        <v>0.65700000000000003</v>
      </c>
      <c r="AE30" s="87"/>
      <c r="AF30" s="87"/>
      <c r="AG30" s="87"/>
      <c r="AH30" s="87"/>
      <c r="AI30" s="87"/>
      <c r="AJ30" s="87"/>
      <c r="AK30" s="87"/>
    </row>
    <row r="31" spans="1:37" s="2" customFormat="1">
      <c r="A31" s="24">
        <f ca="1">U31</f>
        <v>0.77700000000000002</v>
      </c>
      <c r="B31" s="2" t="s">
        <v>33</v>
      </c>
      <c r="J31" s="4"/>
      <c r="K31" s="4"/>
      <c r="L31" s="4"/>
      <c r="P31" s="7"/>
      <c r="R31" s="51" t="s">
        <v>81</v>
      </c>
      <c r="S31" s="51" t="s">
        <v>89</v>
      </c>
      <c r="T31" s="51"/>
      <c r="U31" s="57" cm="1">
        <f t="array" aca="1" ref="U31" ca="1">ROUND(IF($R31="Y",VLOOKUP($S31,INDIRECT($S$2),U$5,0)*INDIRECT($R$1),VLOOKUP($S31,INDIRECT($S$2),U$5,0)),3)</f>
        <v>0.77700000000000002</v>
      </c>
      <c r="V31" s="57"/>
      <c r="W31" s="57"/>
      <c r="X31" s="57"/>
      <c r="Y31" s="57"/>
      <c r="Z31" s="57"/>
      <c r="AA31" s="57"/>
      <c r="AB31" s="87" t="str">
        <f t="shared" si="14"/>
        <v>25th Year</v>
      </c>
      <c r="AC31" s="87"/>
      <c r="AD31" s="91">
        <f t="shared" ca="1" si="15"/>
        <v>0.77700000000000002</v>
      </c>
      <c r="AE31" s="87"/>
      <c r="AF31" s="87"/>
      <c r="AG31" s="87"/>
      <c r="AH31" s="87"/>
      <c r="AI31" s="87"/>
      <c r="AJ31" s="87"/>
      <c r="AK31" s="87"/>
    </row>
    <row r="32" spans="1:37" s="2" customFormat="1">
      <c r="A32" s="1"/>
      <c r="B32" s="1"/>
      <c r="C32" s="1"/>
      <c r="D32" s="7"/>
      <c r="E32" s="1"/>
      <c r="F32" s="1"/>
      <c r="G32" s="1"/>
      <c r="H32" s="1"/>
      <c r="I32" s="1"/>
      <c r="J32" s="1"/>
      <c r="K32" s="1"/>
      <c r="L32" s="1"/>
      <c r="M32" s="7"/>
      <c r="N32" s="7"/>
      <c r="O32" s="1"/>
      <c r="P32" s="1"/>
      <c r="R32" s="51"/>
      <c r="S32" s="51"/>
      <c r="T32" s="51"/>
      <c r="U32" s="57"/>
      <c r="V32" s="57"/>
      <c r="W32" s="57"/>
      <c r="X32" s="57"/>
      <c r="Y32" s="57"/>
      <c r="Z32" s="57"/>
      <c r="AA32" s="57"/>
      <c r="AB32" s="87"/>
      <c r="AC32" s="87"/>
      <c r="AD32" s="87"/>
      <c r="AE32" s="87"/>
      <c r="AF32" s="87"/>
      <c r="AG32" s="87"/>
      <c r="AH32" s="87"/>
      <c r="AI32" s="87"/>
      <c r="AJ32" s="87"/>
      <c r="AK32" s="87"/>
    </row>
    <row r="33" spans="1:37" s="26" customFormat="1">
      <c r="A33" s="25" t="s">
        <v>35</v>
      </c>
      <c r="E33" s="27"/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63"/>
      <c r="S33" s="63"/>
      <c r="T33" s="63"/>
      <c r="U33" s="64"/>
      <c r="V33" s="64"/>
      <c r="W33" s="64"/>
      <c r="X33" s="64"/>
      <c r="Y33" s="64"/>
      <c r="Z33" s="64"/>
      <c r="AA33" s="64"/>
      <c r="AB33" s="94"/>
      <c r="AC33" s="94"/>
      <c r="AD33" s="94"/>
      <c r="AE33" s="94"/>
      <c r="AF33" s="94"/>
      <c r="AG33" s="94"/>
      <c r="AH33" s="94"/>
      <c r="AI33" s="94"/>
      <c r="AJ33" s="94"/>
      <c r="AK33" s="94"/>
    </row>
    <row r="34" spans="1:37" s="2" customFormat="1">
      <c r="A34" s="37" t="s">
        <v>57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51"/>
      <c r="S34" s="51"/>
      <c r="T34" s="51"/>
      <c r="U34" s="57"/>
      <c r="V34" s="57"/>
      <c r="W34" s="57"/>
      <c r="X34" s="57"/>
      <c r="Y34" s="57"/>
      <c r="Z34" s="57"/>
      <c r="AA34" s="57"/>
      <c r="AB34" s="87"/>
      <c r="AC34" s="87"/>
      <c r="AD34" s="87"/>
      <c r="AE34" s="87"/>
      <c r="AF34" s="87"/>
      <c r="AG34" s="87"/>
      <c r="AH34" s="87"/>
      <c r="AI34" s="87"/>
      <c r="AJ34" s="87"/>
      <c r="AK34" s="87"/>
    </row>
    <row r="35" spans="1:37" s="2" customFormat="1">
      <c r="A35" s="2" t="str">
        <f ca="1">"Dispatcher's hourly top-step rate of pay. Coaching/Training Premium = "&amp;TEXT(U35,"$0.000")&amp;" per hour assigned and coaching/training."</f>
        <v>Dispatcher's hourly top-step rate of pay. Coaching/Training Premium = $6.966 per hour assigned and coaching/training.</v>
      </c>
      <c r="G35" s="4"/>
      <c r="J35" s="34"/>
      <c r="K35" s="3"/>
      <c r="M35" s="4"/>
      <c r="N35" s="4"/>
      <c r="O35" s="4"/>
      <c r="P35" s="1"/>
      <c r="R35" s="51" t="s">
        <v>81</v>
      </c>
      <c r="S35" s="51" t="s">
        <v>140</v>
      </c>
      <c r="T35" s="51" t="s">
        <v>35</v>
      </c>
      <c r="U35" s="57">
        <f ca="1">AA7*0.2</f>
        <v>6.9662000000000006</v>
      </c>
      <c r="V35" s="51"/>
      <c r="W35" s="68" t="s">
        <v>96</v>
      </c>
      <c r="X35" s="57"/>
      <c r="Y35" s="57"/>
      <c r="Z35" s="57"/>
      <c r="AA35" s="57"/>
      <c r="AB35" s="87" t="str">
        <f t="shared" ref="AB35" si="16">S35</f>
        <v>COA</v>
      </c>
      <c r="AC35" s="87" t="str">
        <f t="shared" ref="AC35" si="17">T35</f>
        <v>Coaching/Training Premium</v>
      </c>
      <c r="AD35" s="91">
        <f t="shared" ref="AD35" ca="1" si="18">U35</f>
        <v>6.9662000000000006</v>
      </c>
      <c r="AE35" s="87"/>
      <c r="AF35" s="87"/>
      <c r="AG35" s="87"/>
      <c r="AH35" s="87"/>
      <c r="AI35" s="87"/>
      <c r="AJ35" s="87"/>
      <c r="AK35" s="87"/>
    </row>
    <row r="36" spans="1:37" s="2" customFormat="1">
      <c r="A36" s="3"/>
      <c r="E36" s="4"/>
      <c r="F36" s="4"/>
      <c r="G36" s="4"/>
      <c r="H36" s="4"/>
      <c r="J36" s="32"/>
      <c r="K36" s="3"/>
      <c r="L36" s="4"/>
      <c r="M36" s="4"/>
      <c r="N36" s="4"/>
      <c r="O36" s="4"/>
      <c r="P36" s="1"/>
      <c r="R36" s="51"/>
      <c r="S36" s="51"/>
      <c r="T36" s="51"/>
      <c r="U36" s="57"/>
      <c r="V36" s="57"/>
      <c r="W36" s="57"/>
      <c r="X36" s="57"/>
      <c r="Y36" s="57"/>
      <c r="Z36" s="57"/>
      <c r="AA36" s="5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pans="1:37" s="2" customFormat="1">
      <c r="A37" s="25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51"/>
      <c r="S37" s="51"/>
      <c r="T37" s="51"/>
      <c r="U37" s="57"/>
      <c r="V37" s="57"/>
      <c r="W37" s="57"/>
      <c r="X37" s="57"/>
      <c r="Y37" s="57"/>
      <c r="Z37" s="57"/>
      <c r="AA37" s="57"/>
      <c r="AB37" s="87"/>
      <c r="AC37" s="87"/>
      <c r="AD37" s="87"/>
      <c r="AE37" s="87"/>
      <c r="AF37" s="87"/>
      <c r="AG37" s="87"/>
      <c r="AH37" s="87"/>
      <c r="AI37" s="87"/>
      <c r="AJ37" s="87"/>
      <c r="AK37" s="87"/>
    </row>
    <row r="38" spans="1:37" s="2" customFormat="1">
      <c r="A38" s="40" t="s">
        <v>62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51"/>
      <c r="S38" s="51"/>
      <c r="T38" s="51"/>
      <c r="U38" s="57"/>
      <c r="V38" s="57"/>
      <c r="W38" s="57"/>
      <c r="X38" s="57"/>
      <c r="Y38" s="57"/>
      <c r="Z38" s="57"/>
      <c r="AA38" s="57"/>
      <c r="AB38" s="87"/>
      <c r="AC38" s="87"/>
      <c r="AD38" s="87"/>
      <c r="AE38" s="87"/>
      <c r="AF38" s="87"/>
      <c r="AG38" s="87"/>
      <c r="AH38" s="87"/>
      <c r="AI38" s="87"/>
      <c r="AJ38" s="87"/>
      <c r="AK38" s="87"/>
    </row>
    <row r="39" spans="1:37" s="2" customFormat="1">
      <c r="A39" s="2" t="s">
        <v>63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51"/>
      <c r="S39" s="51"/>
      <c r="T39" s="51"/>
      <c r="U39" s="57"/>
      <c r="V39" s="57"/>
      <c r="W39" s="57"/>
      <c r="X39" s="57"/>
      <c r="Y39" s="57"/>
      <c r="Z39" s="57"/>
      <c r="AA39" s="57"/>
      <c r="AB39" s="87"/>
      <c r="AC39" s="87"/>
      <c r="AD39" s="87"/>
      <c r="AE39" s="87"/>
      <c r="AF39" s="87"/>
      <c r="AG39" s="87"/>
      <c r="AH39" s="87"/>
      <c r="AI39" s="87"/>
      <c r="AJ39" s="87"/>
      <c r="AK39" s="87"/>
    </row>
    <row r="40" spans="1:37" s="2" customFormat="1">
      <c r="I40" s="73" t="s">
        <v>60</v>
      </c>
      <c r="J40" s="12" t="s">
        <v>71</v>
      </c>
      <c r="K40" s="12" t="s">
        <v>72</v>
      </c>
      <c r="L40" s="12" t="s">
        <v>73</v>
      </c>
      <c r="M40" s="12" t="s">
        <v>74</v>
      </c>
      <c r="N40" s="12" t="s">
        <v>75</v>
      </c>
      <c r="O40" s="12" t="s">
        <v>76</v>
      </c>
      <c r="P40" s="12" t="s">
        <v>77</v>
      </c>
      <c r="R40" s="51"/>
      <c r="S40" s="66"/>
      <c r="T40" s="66"/>
      <c r="U40" s="66"/>
      <c r="V40" s="61"/>
      <c r="W40" s="69" t="s">
        <v>98</v>
      </c>
      <c r="X40" s="66"/>
      <c r="Y40" s="66"/>
      <c r="Z40" s="51"/>
      <c r="AA40" s="51"/>
      <c r="AB40" s="87"/>
      <c r="AC40" s="87"/>
      <c r="AD40" s="87"/>
      <c r="AE40" s="87"/>
      <c r="AF40" s="87"/>
      <c r="AG40" s="87"/>
      <c r="AH40" s="87"/>
      <c r="AI40" s="87"/>
      <c r="AJ40" s="87"/>
      <c r="AK40" s="87"/>
    </row>
    <row r="41" spans="1:37">
      <c r="I41" s="74" t="s">
        <v>61</v>
      </c>
      <c r="J41" s="14">
        <f ca="1">ROUND(HLOOKUP(J40,$I$6:$O$7,2)*1.5,3)</f>
        <v>38.423000000000002</v>
      </c>
      <c r="K41" s="14">
        <f t="shared" ref="K41:P41" ca="1" si="19">ROUND(HLOOKUP(K40,$I$6:$O$7,2)*1.5,3)</f>
        <v>40.427999999999997</v>
      </c>
      <c r="L41" s="14">
        <f t="shared" ca="1" si="19"/>
        <v>42.548999999999999</v>
      </c>
      <c r="M41" s="14">
        <f t="shared" ca="1" si="19"/>
        <v>44.783999999999999</v>
      </c>
      <c r="N41" s="14">
        <f t="shared" ca="1" si="19"/>
        <v>47.155999999999999</v>
      </c>
      <c r="O41" s="14">
        <f t="shared" ca="1" si="19"/>
        <v>49.643000000000001</v>
      </c>
      <c r="P41" s="14">
        <f t="shared" ca="1" si="19"/>
        <v>52.247</v>
      </c>
      <c r="V41" s="67"/>
      <c r="W41" s="67"/>
      <c r="X41" s="67"/>
      <c r="Y41" s="67"/>
      <c r="AB41" s="87" t="s">
        <v>134</v>
      </c>
      <c r="AD41" s="91">
        <f t="shared" ref="AD41:AD46" ca="1" si="20">U17</f>
        <v>1.2190000000000001</v>
      </c>
    </row>
    <row r="42" spans="1:37">
      <c r="AB42" s="87" t="s">
        <v>135</v>
      </c>
      <c r="AD42" s="91">
        <f t="shared" ca="1" si="20"/>
        <v>1.8280000000000001</v>
      </c>
    </row>
    <row r="43" spans="1:37">
      <c r="AB43" s="87" t="s">
        <v>136</v>
      </c>
      <c r="AD43" s="91">
        <f t="shared" ca="1" si="20"/>
        <v>2.4369999999999998</v>
      </c>
    </row>
    <row r="44" spans="1:37">
      <c r="AB44" s="87" t="s">
        <v>137</v>
      </c>
      <c r="AD44" s="91">
        <f t="shared" ca="1" si="20"/>
        <v>0.51300000000000001</v>
      </c>
    </row>
    <row r="45" spans="1:37">
      <c r="AB45" s="87" t="s">
        <v>138</v>
      </c>
      <c r="AD45" s="91">
        <f t="shared" ca="1" si="20"/>
        <v>0.76900000000000002</v>
      </c>
    </row>
    <row r="46" spans="1:37">
      <c r="AB46" s="87" t="s">
        <v>139</v>
      </c>
      <c r="AD46" s="91">
        <f t="shared" ca="1" si="20"/>
        <v>1.0249999999999999</v>
      </c>
    </row>
  </sheetData>
  <mergeCells count="1">
    <mergeCell ref="A1:O1"/>
  </mergeCells>
  <pageMargins left="0.25" right="0.25" top="0.5" bottom="0.25" header="0.5" footer="0.5"/>
  <pageSetup scale="51" orientation="landscape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21D7-3601-454B-84D6-4E2F8DACECB9}">
  <sheetPr>
    <pageSetUpPr fitToPage="1"/>
  </sheetPr>
  <dimension ref="A1:AK46"/>
  <sheetViews>
    <sheetView showGridLines="0" topLeftCell="D6" workbookViewId="0">
      <selection activeCell="U36" sqref="U36"/>
    </sheetView>
  </sheetViews>
  <sheetFormatPr defaultColWidth="9.1328125" defaultRowHeight="15.75"/>
  <cols>
    <col min="1" max="1" width="10.73046875" style="29" customWidth="1"/>
    <col min="2" max="2" width="6.73046875" style="29" customWidth="1"/>
    <col min="3" max="3" width="4.86328125" style="29" bestFit="1" customWidth="1"/>
    <col min="4" max="4" width="18.73046875" style="29" bestFit="1" customWidth="1"/>
    <col min="5" max="5" width="4.59765625" style="29" bestFit="1" customWidth="1"/>
    <col min="6" max="6" width="7" style="29" bestFit="1" customWidth="1"/>
    <col min="7" max="7" width="6.86328125" style="29" bestFit="1" customWidth="1"/>
    <col min="8" max="8" width="5.73046875" style="29" bestFit="1" customWidth="1"/>
    <col min="9" max="9" width="9.73046875" style="29" customWidth="1"/>
    <col min="10" max="15" width="8.59765625" style="29" bestFit="1" customWidth="1"/>
    <col min="16" max="16" width="8.3984375" style="29" bestFit="1" customWidth="1"/>
    <col min="17" max="17" width="9.1328125" style="29"/>
    <col min="18" max="18" width="12.265625" style="51" bestFit="1" customWidth="1"/>
    <col min="19" max="19" width="15.73046875" style="51" bestFit="1" customWidth="1"/>
    <col min="20" max="20" width="27.59765625" style="51" bestFit="1" customWidth="1"/>
    <col min="21" max="22" width="8.3984375" style="57" bestFit="1" customWidth="1"/>
    <col min="23" max="23" width="23.73046875" style="57" bestFit="1" customWidth="1"/>
    <col min="24" max="27" width="8.3984375" style="57" bestFit="1" customWidth="1"/>
    <col min="28" max="28" width="15.73046875" style="87" bestFit="1" customWidth="1"/>
    <col min="29" max="29" width="30.59765625" style="87" bestFit="1" customWidth="1"/>
    <col min="30" max="30" width="7.265625" style="87" bestFit="1" customWidth="1"/>
    <col min="31" max="37" width="8.3984375" style="87" bestFit="1" customWidth="1"/>
    <col min="38" max="16384" width="9.1328125" style="29"/>
  </cols>
  <sheetData>
    <row r="1" spans="1:3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51" t="s">
        <v>118</v>
      </c>
      <c r="S1" s="84">
        <v>1.1347</v>
      </c>
      <c r="T1" s="51"/>
      <c r="U1" s="57"/>
      <c r="V1" s="57"/>
      <c r="W1" s="57"/>
      <c r="X1" s="57"/>
      <c r="Y1" s="57"/>
      <c r="Z1" s="57"/>
      <c r="AA1" s="5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37" s="2" customFormat="1">
      <c r="C2" s="3"/>
      <c r="D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51" t="s">
        <v>119</v>
      </c>
      <c r="S2" s="55" t="s">
        <v>122</v>
      </c>
      <c r="T2" s="51"/>
      <c r="U2" s="57"/>
      <c r="V2" s="57"/>
      <c r="W2" s="57"/>
      <c r="X2" s="57"/>
      <c r="Y2" s="57"/>
      <c r="Z2" s="57"/>
      <c r="AA2" s="5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37" s="2" customFormat="1">
      <c r="A3" s="2" t="s">
        <v>154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51"/>
      <c r="S3" s="51"/>
      <c r="T3" s="51"/>
      <c r="U3" s="57"/>
      <c r="V3" s="57"/>
      <c r="W3" s="57"/>
      <c r="X3" s="57"/>
      <c r="Y3" s="57"/>
      <c r="Z3" s="57"/>
      <c r="AA3" s="57"/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37" s="2" customFormat="1" ht="15" customHeight="1">
      <c r="A4" s="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51"/>
      <c r="S4" s="51"/>
      <c r="T4" s="51"/>
      <c r="U4" s="57"/>
      <c r="V4" s="57"/>
      <c r="W4" s="57"/>
      <c r="X4" s="57"/>
      <c r="Y4" s="57"/>
      <c r="Z4" s="57"/>
      <c r="AA4" s="57"/>
      <c r="AB4" s="95" t="s">
        <v>133</v>
      </c>
      <c r="AC4" s="87"/>
      <c r="AD4" s="87"/>
      <c r="AE4" s="87"/>
      <c r="AF4" s="87"/>
      <c r="AG4" s="87"/>
      <c r="AH4" s="87"/>
      <c r="AI4" s="87"/>
      <c r="AJ4" s="87"/>
      <c r="AK4" s="87"/>
    </row>
    <row r="5" spans="1:37" s="2" customFormat="1" ht="15" customHeight="1">
      <c r="A5" s="104"/>
      <c r="B5" s="3"/>
      <c r="C5" s="4"/>
      <c r="D5" s="104"/>
      <c r="E5" s="104"/>
      <c r="F5" s="104"/>
      <c r="G5" s="9"/>
      <c r="H5" s="9"/>
      <c r="I5" s="10"/>
      <c r="J5" s="9"/>
      <c r="K5" s="9"/>
      <c r="L5" s="9"/>
      <c r="M5" s="9"/>
      <c r="N5" s="9"/>
      <c r="O5" s="4"/>
      <c r="P5" s="7"/>
      <c r="R5" s="51"/>
      <c r="S5" s="51"/>
      <c r="T5" s="51"/>
      <c r="U5" s="82">
        <v>3</v>
      </c>
      <c r="V5" s="82">
        <f>U5+1</f>
        <v>4</v>
      </c>
      <c r="W5" s="82">
        <f t="shared" ref="W5:AA5" si="0">V5+1</f>
        <v>5</v>
      </c>
      <c r="X5" s="82">
        <f t="shared" si="0"/>
        <v>6</v>
      </c>
      <c r="Y5" s="82">
        <f t="shared" si="0"/>
        <v>7</v>
      </c>
      <c r="Z5" s="82">
        <f t="shared" si="0"/>
        <v>8</v>
      </c>
      <c r="AA5" s="82">
        <f t="shared" si="0"/>
        <v>9</v>
      </c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37" s="2" customFormat="1" ht="31.5" customHeight="1">
      <c r="A6" s="45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68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51" t="s">
        <v>80</v>
      </c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  <c r="AB6" s="88" t="s">
        <v>78</v>
      </c>
      <c r="AC6" s="89" t="s">
        <v>14</v>
      </c>
      <c r="AD6" s="88" t="s">
        <v>68</v>
      </c>
      <c r="AE6" s="90" t="s">
        <v>71</v>
      </c>
      <c r="AF6" s="90" t="s">
        <v>72</v>
      </c>
      <c r="AG6" s="90" t="s">
        <v>73</v>
      </c>
      <c r="AH6" s="90" t="s">
        <v>74</v>
      </c>
      <c r="AI6" s="90" t="s">
        <v>75</v>
      </c>
      <c r="AJ6" s="90" t="s">
        <v>76</v>
      </c>
      <c r="AK6" s="90" t="s">
        <v>77</v>
      </c>
    </row>
    <row r="7" spans="1:37" s="2" customFormat="1">
      <c r="A7" s="4" t="s">
        <v>21</v>
      </c>
      <c r="B7" s="4" t="s">
        <v>19</v>
      </c>
      <c r="C7" s="4">
        <v>2</v>
      </c>
      <c r="D7" s="7" t="s">
        <v>22</v>
      </c>
      <c r="E7" s="4">
        <v>336</v>
      </c>
      <c r="F7" s="46" t="s">
        <v>69</v>
      </c>
      <c r="G7" s="4">
        <v>7</v>
      </c>
      <c r="H7" s="4" t="s">
        <v>20</v>
      </c>
      <c r="I7" s="14">
        <f>U7</f>
        <v>29.065000000000001</v>
      </c>
      <c r="J7" s="14">
        <f t="shared" ref="J7:O8" si="1">V7</f>
        <v>30.582999999999998</v>
      </c>
      <c r="K7" s="14">
        <f t="shared" si="1"/>
        <v>32.186999999999998</v>
      </c>
      <c r="L7" s="14">
        <f t="shared" si="1"/>
        <v>33.878</v>
      </c>
      <c r="M7" s="14">
        <f t="shared" si="1"/>
        <v>35.671999999999997</v>
      </c>
      <c r="N7" s="14">
        <f t="shared" si="1"/>
        <v>37.552999999999997</v>
      </c>
      <c r="O7" s="14">
        <f t="shared" si="1"/>
        <v>39.523000000000003</v>
      </c>
      <c r="P7" s="7"/>
      <c r="R7" s="51" t="s">
        <v>81</v>
      </c>
      <c r="S7" s="55" t="s">
        <v>21</v>
      </c>
      <c r="T7" s="56" t="str">
        <f>D7</f>
        <v>911 Dispatcher</v>
      </c>
      <c r="U7" s="66">
        <v>29.065000000000001</v>
      </c>
      <c r="V7" s="66">
        <v>30.582999999999998</v>
      </c>
      <c r="W7" s="66">
        <v>32.186999999999998</v>
      </c>
      <c r="X7" s="66">
        <v>33.878</v>
      </c>
      <c r="Y7" s="66">
        <v>35.671999999999997</v>
      </c>
      <c r="Z7" s="66">
        <v>37.552999999999997</v>
      </c>
      <c r="AA7" s="66">
        <v>39.523000000000003</v>
      </c>
      <c r="AB7" s="87" t="str">
        <f>S7</f>
        <v>00011C</v>
      </c>
      <c r="AC7" s="87" t="str">
        <f>T7</f>
        <v>911 Dispatcher</v>
      </c>
      <c r="AD7" s="96" t="str">
        <f>F7</f>
        <v>02</v>
      </c>
      <c r="AE7" s="91">
        <f>ROUND(U7,3)</f>
        <v>29.065000000000001</v>
      </c>
      <c r="AF7" s="91">
        <f t="shared" ref="AF7:AK8" si="2">ROUND(V7,3)</f>
        <v>30.582999999999998</v>
      </c>
      <c r="AG7" s="91">
        <f t="shared" si="2"/>
        <v>32.186999999999998</v>
      </c>
      <c r="AH7" s="91">
        <f t="shared" si="2"/>
        <v>33.878</v>
      </c>
      <c r="AI7" s="91">
        <f t="shared" si="2"/>
        <v>35.671999999999997</v>
      </c>
      <c r="AJ7" s="91">
        <f t="shared" si="2"/>
        <v>37.552999999999997</v>
      </c>
      <c r="AK7" s="91">
        <f t="shared" si="2"/>
        <v>39.523000000000003</v>
      </c>
    </row>
    <row r="8" spans="1:37" s="2" customFormat="1">
      <c r="A8" s="4" t="s">
        <v>113</v>
      </c>
      <c r="B8" s="4" t="s">
        <v>19</v>
      </c>
      <c r="C8" s="4">
        <v>2</v>
      </c>
      <c r="D8" s="7" t="s">
        <v>115</v>
      </c>
      <c r="E8" s="4">
        <v>308</v>
      </c>
      <c r="F8" s="46" t="s">
        <v>132</v>
      </c>
      <c r="G8" s="4">
        <v>6</v>
      </c>
      <c r="H8" s="4" t="s">
        <v>20</v>
      </c>
      <c r="I8" s="14">
        <f>U8</f>
        <v>27.082000000000001</v>
      </c>
      <c r="J8" s="14">
        <f t="shared" si="1"/>
        <v>28.512</v>
      </c>
      <c r="K8" s="14">
        <f t="shared" si="1"/>
        <v>30.013000000000002</v>
      </c>
      <c r="L8" s="14">
        <f t="shared" si="1"/>
        <v>31.588000000000001</v>
      </c>
      <c r="M8" s="14">
        <f t="shared" si="1"/>
        <v>33.252000000000002</v>
      </c>
      <c r="N8" s="14">
        <f t="shared" si="1"/>
        <v>35.000999999999998</v>
      </c>
      <c r="O8" s="14">
        <f t="shared" si="1"/>
        <v>36.838999999999999</v>
      </c>
      <c r="P8" s="7"/>
      <c r="R8" s="51" t="s">
        <v>81</v>
      </c>
      <c r="S8" s="55" t="s">
        <v>113</v>
      </c>
      <c r="T8" s="56" t="str">
        <f>D8</f>
        <v>911 Call Taker</v>
      </c>
      <c r="U8" s="66">
        <v>27.082000000000001</v>
      </c>
      <c r="V8" s="66">
        <v>28.512</v>
      </c>
      <c r="W8" s="66">
        <v>30.013000000000002</v>
      </c>
      <c r="X8" s="66">
        <v>31.588000000000001</v>
      </c>
      <c r="Y8" s="66">
        <v>33.252000000000002</v>
      </c>
      <c r="Z8" s="66">
        <v>35.000999999999998</v>
      </c>
      <c r="AA8" s="66">
        <v>36.838999999999999</v>
      </c>
      <c r="AB8" s="87" t="str">
        <f>S8</f>
        <v>00020C</v>
      </c>
      <c r="AC8" s="87" t="str">
        <f>T8</f>
        <v>911 Call Taker</v>
      </c>
      <c r="AD8" s="96" t="str">
        <f>F8</f>
        <v>01</v>
      </c>
      <c r="AE8" s="91">
        <f>ROUND(U8,3)</f>
        <v>27.082000000000001</v>
      </c>
      <c r="AF8" s="91">
        <f t="shared" si="2"/>
        <v>28.512</v>
      </c>
      <c r="AG8" s="91">
        <f t="shared" si="2"/>
        <v>30.013000000000002</v>
      </c>
      <c r="AH8" s="91">
        <f t="shared" si="2"/>
        <v>31.588000000000001</v>
      </c>
      <c r="AI8" s="91">
        <f t="shared" si="2"/>
        <v>33.252000000000002</v>
      </c>
      <c r="AJ8" s="91">
        <f t="shared" si="2"/>
        <v>35.000999999999998</v>
      </c>
      <c r="AK8" s="91">
        <f t="shared" si="2"/>
        <v>36.838999999999999</v>
      </c>
    </row>
    <row r="9" spans="1:37" s="7" customFormat="1" ht="16.149999999999999" thickBot="1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R9" s="58"/>
      <c r="S9" s="58"/>
      <c r="T9" s="58"/>
      <c r="U9" s="105"/>
      <c r="V9" s="59"/>
      <c r="W9" s="59"/>
      <c r="X9" s="59"/>
      <c r="Y9" s="59"/>
      <c r="Z9" s="59"/>
      <c r="AA9" s="59"/>
      <c r="AB9" s="92"/>
      <c r="AC9" s="92"/>
      <c r="AD9" s="92"/>
      <c r="AE9" s="92"/>
      <c r="AF9" s="92"/>
      <c r="AG9" s="92"/>
      <c r="AH9" s="92"/>
      <c r="AI9" s="92"/>
      <c r="AJ9" s="92"/>
      <c r="AK9" s="92"/>
    </row>
    <row r="10" spans="1:37" s="2" customFormat="1">
      <c r="A10" s="104" t="s">
        <v>56</v>
      </c>
      <c r="B10" s="4"/>
      <c r="C10" s="4"/>
      <c r="E10" s="4"/>
      <c r="F10" s="4"/>
      <c r="G10" s="4"/>
      <c r="H10" s="4"/>
      <c r="I10" s="4"/>
      <c r="J10" s="4"/>
      <c r="K10" s="4"/>
      <c r="L10" s="4"/>
      <c r="P10" s="7"/>
      <c r="R10" s="51"/>
      <c r="S10" s="51"/>
      <c r="T10" s="51"/>
      <c r="U10" s="57"/>
      <c r="V10" s="57"/>
      <c r="W10" s="57"/>
      <c r="X10" s="57"/>
      <c r="Y10" s="57"/>
      <c r="Z10" s="57"/>
      <c r="AA10" s="57"/>
      <c r="AB10" s="87"/>
      <c r="AC10" s="87"/>
      <c r="AD10" s="87"/>
      <c r="AE10" s="87"/>
      <c r="AF10" s="87"/>
      <c r="AG10" s="87"/>
      <c r="AH10" s="87"/>
      <c r="AI10" s="87"/>
      <c r="AJ10" s="87"/>
      <c r="AK10" s="87"/>
    </row>
    <row r="11" spans="1:37" s="2" customFormat="1">
      <c r="A11" s="2" t="str">
        <f ca="1">"In addition to their base rate of pay, employees shall be paid "&amp;TEXT(U11,"$0.000")&amp; " per hour for all hours worked on any shift that begins"</f>
        <v>In addition to their base rate of pay, employees shall be paid $0.582 per hour for all hours worked on any shift that begins</v>
      </c>
      <c r="B11" s="4"/>
      <c r="C11" s="4"/>
      <c r="E11" s="4"/>
      <c r="F11" s="4"/>
      <c r="G11" s="4"/>
      <c r="I11" s="36"/>
      <c r="J11" s="3"/>
      <c r="K11" s="3"/>
      <c r="L11" s="3"/>
      <c r="M11" s="3"/>
      <c r="N11" s="3"/>
      <c r="P11" s="7"/>
      <c r="R11" s="51" t="s">
        <v>81</v>
      </c>
      <c r="S11" s="60" t="s">
        <v>82</v>
      </c>
      <c r="T11" s="60" t="s">
        <v>83</v>
      </c>
      <c r="U11" s="57" cm="1">
        <f t="array" aca="1" ref="U11" ca="1">ROUND(IF($R11="Y",VLOOKUP($S11,INDIRECT($S$2),U$5,0)*INDIRECT($R$1),VLOOKUP($S11,INDIRECT($S$2),U$5,0)),3)</f>
        <v>0.58199999999999996</v>
      </c>
      <c r="V11" s="57"/>
      <c r="W11" s="57"/>
      <c r="X11" s="61"/>
      <c r="Y11" s="57"/>
      <c r="Z11" s="57"/>
      <c r="AA11" s="57"/>
      <c r="AB11" s="87" t="str">
        <f>S11</f>
        <v>CMNEVE</v>
      </c>
      <c r="AC11" s="87" t="str">
        <f>T11</f>
        <v>TL-Evening Shift Premium-CMN</v>
      </c>
      <c r="AD11" s="91">
        <f ca="1">U11</f>
        <v>0.58199999999999996</v>
      </c>
      <c r="AE11" s="87"/>
      <c r="AF11" s="87"/>
      <c r="AG11" s="87"/>
      <c r="AH11" s="87"/>
      <c r="AI11" s="87"/>
      <c r="AJ11" s="87"/>
      <c r="AK11" s="87"/>
    </row>
    <row r="12" spans="1:37" s="2" customFormat="1">
      <c r="A12" s="2" t="s">
        <v>53</v>
      </c>
      <c r="P12" s="7"/>
      <c r="R12" s="51"/>
      <c r="S12" s="51"/>
      <c r="T12" s="51"/>
      <c r="U12" s="57"/>
      <c r="V12" s="57"/>
      <c r="W12" s="57"/>
      <c r="X12" s="57"/>
      <c r="Y12" s="57"/>
      <c r="Z12" s="57"/>
      <c r="AA12" s="57"/>
      <c r="AB12" s="87"/>
      <c r="AC12" s="87"/>
      <c r="AD12" s="91"/>
      <c r="AE12" s="87"/>
      <c r="AF12" s="87"/>
      <c r="AG12" s="87"/>
      <c r="AH12" s="87"/>
      <c r="AI12" s="87"/>
      <c r="AJ12" s="87"/>
      <c r="AK12" s="87"/>
    </row>
    <row r="13" spans="1:37" s="2" customFormat="1">
      <c r="P13" s="7"/>
      <c r="R13" s="51"/>
      <c r="S13" s="51"/>
      <c r="T13" s="51"/>
      <c r="U13" s="57"/>
      <c r="V13" s="57"/>
      <c r="W13" s="57"/>
      <c r="X13" s="57"/>
      <c r="Y13" s="57"/>
      <c r="Z13" s="57"/>
      <c r="AA13" s="57"/>
      <c r="AB13" s="87"/>
      <c r="AC13" s="87"/>
      <c r="AD13" s="91"/>
      <c r="AE13" s="87"/>
      <c r="AF13" s="87"/>
      <c r="AG13" s="87"/>
      <c r="AH13" s="87"/>
      <c r="AI13" s="87"/>
      <c r="AJ13" s="87"/>
      <c r="AK13" s="87"/>
    </row>
    <row r="14" spans="1:37" s="2" customFormat="1">
      <c r="A14" s="2" t="str">
        <f ca="1">"In addition to their base rate of pay, employees shall be paid "&amp;TEXT(U14,"$0.000")&amp;" per hour for all hours worked on any shift that begins"</f>
        <v>In addition to their base rate of pay, employees shall be paid $1.383 per hour for all hours worked on any shift that begins</v>
      </c>
      <c r="I14" s="36"/>
      <c r="P14" s="7"/>
      <c r="R14" s="51" t="s">
        <v>81</v>
      </c>
      <c r="S14" s="60" t="s">
        <v>84</v>
      </c>
      <c r="T14" s="60" t="s">
        <v>85</v>
      </c>
      <c r="U14" s="57" cm="1">
        <f t="array" aca="1" ref="U14" ca="1">ROUND(IF($R14="Y",VLOOKUP($S14,INDIRECT($S$2),U$5,0)*INDIRECT($R$1),VLOOKUP($S14,INDIRECT($S$2),U$5,0)),3)</f>
        <v>1.383</v>
      </c>
      <c r="V14" s="57"/>
      <c r="W14" s="57"/>
      <c r="X14" s="57"/>
      <c r="Y14" s="57"/>
      <c r="Z14" s="57"/>
      <c r="AA14" s="57"/>
      <c r="AB14" s="87" t="str">
        <f t="shared" ref="AB14:AD14" si="3">S14</f>
        <v>CMNNIT</v>
      </c>
      <c r="AC14" s="87" t="str">
        <f t="shared" si="3"/>
        <v>TL-Night Shift Premium-CMN</v>
      </c>
      <c r="AD14" s="91">
        <f t="shared" ca="1" si="3"/>
        <v>1.383</v>
      </c>
      <c r="AE14" s="87"/>
      <c r="AF14" s="87"/>
      <c r="AG14" s="87"/>
      <c r="AH14" s="87"/>
      <c r="AI14" s="87"/>
      <c r="AJ14" s="87"/>
      <c r="AK14" s="87"/>
    </row>
    <row r="15" spans="1:37" s="2" customFormat="1">
      <c r="A15" s="2" t="s">
        <v>95</v>
      </c>
      <c r="B15" s="4"/>
      <c r="C15" s="4"/>
      <c r="E15" s="4"/>
      <c r="F15" s="4"/>
      <c r="G15" s="4"/>
      <c r="H15" s="4"/>
      <c r="I15" s="4"/>
      <c r="J15" s="4"/>
      <c r="K15" s="4"/>
      <c r="L15" s="4"/>
      <c r="P15" s="7"/>
      <c r="R15" s="51"/>
      <c r="S15" s="51"/>
      <c r="T15" s="51"/>
      <c r="U15" s="57"/>
      <c r="V15" s="57"/>
      <c r="W15" s="57"/>
      <c r="X15" s="57"/>
      <c r="Y15" s="57"/>
      <c r="Z15" s="57"/>
      <c r="AA15" s="57"/>
      <c r="AB15" s="87"/>
      <c r="AC15" s="87"/>
      <c r="AD15" s="87"/>
      <c r="AE15" s="87"/>
      <c r="AF15" s="87"/>
      <c r="AG15" s="87"/>
      <c r="AH15" s="87"/>
      <c r="AI15" s="87"/>
      <c r="AJ15" s="87"/>
      <c r="AK15" s="87"/>
    </row>
    <row r="16" spans="1:37" s="2" customFormat="1">
      <c r="B16" s="4"/>
      <c r="C16" s="4"/>
      <c r="E16" s="4"/>
      <c r="F16" s="4"/>
      <c r="G16" s="4"/>
      <c r="H16" s="4"/>
      <c r="I16" s="4"/>
      <c r="J16" s="4"/>
      <c r="K16" s="4"/>
      <c r="L16" s="4"/>
      <c r="P16" s="7"/>
      <c r="R16" s="51"/>
      <c r="S16" s="70" t="s">
        <v>145</v>
      </c>
      <c r="T16" s="51"/>
      <c r="U16" s="51"/>
      <c r="V16" s="51"/>
      <c r="W16" s="57"/>
      <c r="X16" s="57"/>
      <c r="Y16" s="57"/>
      <c r="Z16" s="57"/>
      <c r="AA16" s="57"/>
      <c r="AB16" s="100" t="s">
        <v>145</v>
      </c>
      <c r="AC16" s="101"/>
      <c r="AD16" s="101"/>
      <c r="AE16" s="87"/>
      <c r="AF16" s="87"/>
      <c r="AG16" s="87"/>
      <c r="AH16" s="87"/>
      <c r="AI16" s="87"/>
      <c r="AJ16" s="87"/>
      <c r="AK16" s="87"/>
    </row>
    <row r="17" spans="1:37" s="2" customFormat="1">
      <c r="A17" s="2" t="s">
        <v>24</v>
      </c>
      <c r="P17" s="7"/>
      <c r="R17" s="51" t="s">
        <v>81</v>
      </c>
      <c r="S17" s="51" t="s">
        <v>137</v>
      </c>
      <c r="T17" s="99" t="s">
        <v>147</v>
      </c>
      <c r="U17" s="57" cm="1">
        <f t="array" aca="1" ref="U17" ca="1">ROUND(IF($R17="Y",VLOOKUP($S17,INDIRECT($S$2),U$5,0)*INDIRECT($R$1),VLOOKUP($S17,INDIRECT($S$2),U$5,0)),3)</f>
        <v>1.383</v>
      </c>
      <c r="V17" s="51"/>
      <c r="W17" s="99"/>
      <c r="X17" s="57"/>
      <c r="Y17" s="57"/>
      <c r="Z17" s="57"/>
      <c r="AA17" s="57"/>
      <c r="AB17" s="101" t="str">
        <f>S17</f>
        <v>NBF</v>
      </c>
      <c r="AC17" s="102" t="str">
        <f>T17</f>
        <v>Higher shift rate</v>
      </c>
      <c r="AD17" s="103">
        <f ca="1">U17</f>
        <v>1.383</v>
      </c>
      <c r="AE17" s="87"/>
      <c r="AF17" s="87"/>
      <c r="AG17" s="87"/>
      <c r="AH17" s="87"/>
      <c r="AI17" s="87"/>
      <c r="AJ17" s="87"/>
      <c r="AK17" s="87"/>
    </row>
    <row r="18" spans="1:37" s="2" customFormat="1">
      <c r="A18" s="2" t="s">
        <v>25</v>
      </c>
      <c r="P18" s="7"/>
      <c r="R18" s="51" t="s">
        <v>81</v>
      </c>
      <c r="S18" s="51" t="s">
        <v>138</v>
      </c>
      <c r="T18" s="51" t="s">
        <v>148</v>
      </c>
      <c r="U18" s="57" cm="1">
        <f t="array" aca="1" ref="U18" ca="1">ROUND(IF($R18="Y",VLOOKUP($S18,INDIRECT($S$2),U$5,0)*INDIRECT($R$1),VLOOKUP($S18,INDIRECT($S$2),U$5,0)),3)</f>
        <v>2.0739999999999998</v>
      </c>
      <c r="V18" s="51"/>
      <c r="W18" s="51"/>
      <c r="X18" s="57"/>
      <c r="Y18" s="57"/>
      <c r="Z18" s="57"/>
      <c r="AA18" s="57"/>
      <c r="AB18" s="101" t="str">
        <f t="shared" ref="AB18:AB22" si="4">S18</f>
        <v>NBT</v>
      </c>
      <c r="AC18" s="102" t="str">
        <f t="shared" ref="AC18:AD22" si="5">T18</f>
        <v>Higher shift rate x 1.5</v>
      </c>
      <c r="AD18" s="103">
        <f t="shared" ca="1" si="5"/>
        <v>2.0739999999999998</v>
      </c>
      <c r="AE18" s="87"/>
      <c r="AF18" s="87"/>
      <c r="AG18" s="87"/>
      <c r="AH18" s="87"/>
      <c r="AI18" s="87"/>
      <c r="AJ18" s="87"/>
      <c r="AK18" s="87"/>
    </row>
    <row r="19" spans="1:37" s="2" customFormat="1">
      <c r="A19" s="2" t="s">
        <v>26</v>
      </c>
      <c r="P19" s="7"/>
      <c r="R19" s="51" t="s">
        <v>81</v>
      </c>
      <c r="S19" s="51" t="s">
        <v>139</v>
      </c>
      <c r="T19" s="51" t="s">
        <v>146</v>
      </c>
      <c r="U19" s="57" cm="1">
        <f t="array" aca="1" ref="U19" ca="1">ROUND(IF($R19="Y",VLOOKUP($S19,INDIRECT($S$2),U$5,0)*INDIRECT($R$1),VLOOKUP($S19,INDIRECT($S$2),U$5,0)),3)</f>
        <v>2.7650000000000001</v>
      </c>
      <c r="V19" s="51"/>
      <c r="W19" s="51"/>
      <c r="X19" s="57"/>
      <c r="Y19" s="57"/>
      <c r="Z19" s="57"/>
      <c r="AA19" s="57"/>
      <c r="AB19" s="101" t="str">
        <f t="shared" si="4"/>
        <v>NBG</v>
      </c>
      <c r="AC19" s="102" t="str">
        <f t="shared" si="5"/>
        <v>Higher shift rate x 2.0</v>
      </c>
      <c r="AD19" s="103">
        <f t="shared" ca="1" si="5"/>
        <v>2.7650000000000001</v>
      </c>
      <c r="AE19" s="87"/>
      <c r="AF19" s="87"/>
      <c r="AG19" s="87"/>
      <c r="AH19" s="87"/>
      <c r="AI19" s="87"/>
      <c r="AJ19" s="87"/>
      <c r="AK19" s="87"/>
    </row>
    <row r="20" spans="1:3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51" t="s">
        <v>81</v>
      </c>
      <c r="S20" s="51" t="s">
        <v>134</v>
      </c>
      <c r="T20" s="51" t="s">
        <v>149</v>
      </c>
      <c r="U20" s="57" cm="1">
        <f t="array" aca="1" ref="U20" ca="1">ROUND(IF($R20="Y",VLOOKUP($S20,INDIRECT($S$2),U$5,0)*INDIRECT($R$1),VLOOKUP($S20,INDIRECT($S$2),U$5,0)),3)</f>
        <v>0.58199999999999996</v>
      </c>
      <c r="V20" s="51"/>
      <c r="W20" s="51"/>
      <c r="X20" s="57"/>
      <c r="Y20" s="57"/>
      <c r="Z20" s="57"/>
      <c r="AA20" s="57"/>
      <c r="AB20" s="101" t="str">
        <f t="shared" si="4"/>
        <v>NFF</v>
      </c>
      <c r="AC20" s="102" t="str">
        <f t="shared" si="5"/>
        <v>Lower shift rate</v>
      </c>
      <c r="AD20" s="103">
        <f t="shared" ca="1" si="5"/>
        <v>0.58199999999999996</v>
      </c>
      <c r="AE20" s="87"/>
      <c r="AF20" s="87"/>
      <c r="AG20" s="87"/>
      <c r="AH20" s="87"/>
      <c r="AI20" s="87"/>
      <c r="AJ20" s="87"/>
      <c r="AK20" s="87"/>
    </row>
    <row r="21" spans="1:37" s="2" customForma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51" t="s">
        <v>81</v>
      </c>
      <c r="S21" s="51" t="s">
        <v>135</v>
      </c>
      <c r="T21" s="51" t="s">
        <v>150</v>
      </c>
      <c r="U21" s="57" cm="1">
        <f t="array" aca="1" ref="U21" ca="1">ROUND(IF($R21="Y",VLOOKUP($S21,INDIRECT($S$2),U$5,0)*INDIRECT($R$1),VLOOKUP($S21,INDIRECT($S$2),U$5,0)),3)</f>
        <v>0.873</v>
      </c>
      <c r="V21" s="51"/>
      <c r="W21" s="51"/>
      <c r="X21" s="57"/>
      <c r="Y21" s="57"/>
      <c r="Z21" s="57"/>
      <c r="AA21" s="57"/>
      <c r="AB21" s="101" t="str">
        <f t="shared" si="4"/>
        <v>NFT</v>
      </c>
      <c r="AC21" s="102" t="str">
        <f t="shared" si="5"/>
        <v>Lower shift rate x 1.5</v>
      </c>
      <c r="AD21" s="103">
        <f t="shared" ca="1" si="5"/>
        <v>0.873</v>
      </c>
      <c r="AE21" s="87"/>
      <c r="AF21" s="87"/>
      <c r="AG21" s="87"/>
      <c r="AH21" s="87"/>
      <c r="AI21" s="87"/>
      <c r="AJ21" s="87"/>
      <c r="AK21" s="87"/>
    </row>
    <row r="22" spans="1:3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51" t="s">
        <v>81</v>
      </c>
      <c r="S22" s="51" t="s">
        <v>136</v>
      </c>
      <c r="T22" s="51" t="s">
        <v>151</v>
      </c>
      <c r="U22" s="57" cm="1">
        <f t="array" aca="1" ref="U22" ca="1">ROUND(IF($R22="Y",VLOOKUP($S22,INDIRECT($S$2),U$5,0)*INDIRECT($R$1),VLOOKUP($S22,INDIRECT($S$2),U$5,0)),3)</f>
        <v>1.163</v>
      </c>
      <c r="V22" s="51"/>
      <c r="W22" s="51"/>
      <c r="X22" s="57"/>
      <c r="Y22" s="57"/>
      <c r="Z22" s="57"/>
      <c r="AA22" s="57"/>
      <c r="AB22" s="101" t="str">
        <f t="shared" si="4"/>
        <v>NFG</v>
      </c>
      <c r="AC22" s="102" t="str">
        <f t="shared" si="5"/>
        <v>Lower shift rate x 2.0</v>
      </c>
      <c r="AD22" s="103">
        <f t="shared" ca="1" si="5"/>
        <v>1.163</v>
      </c>
      <c r="AE22" s="87"/>
      <c r="AF22" s="87"/>
      <c r="AG22" s="87"/>
      <c r="AH22" s="87"/>
      <c r="AI22" s="87"/>
      <c r="AJ22" s="87"/>
      <c r="AK22" s="87"/>
    </row>
    <row r="23" spans="1:37" s="2" customFormat="1">
      <c r="B23" s="1"/>
      <c r="C23" s="1"/>
      <c r="D23" s="7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51"/>
      <c r="S23" s="51"/>
      <c r="T23" s="51"/>
      <c r="U23" s="57"/>
      <c r="V23" s="57"/>
      <c r="W23" s="57"/>
      <c r="X23" s="57"/>
      <c r="Y23" s="57"/>
      <c r="Z23" s="57"/>
      <c r="AA23" s="57"/>
      <c r="AB23" s="87"/>
      <c r="AC23" s="87"/>
      <c r="AD23" s="87"/>
      <c r="AE23" s="87"/>
      <c r="AF23" s="87"/>
      <c r="AG23" s="87"/>
      <c r="AH23" s="87"/>
      <c r="AI23" s="87"/>
      <c r="AJ23" s="87"/>
      <c r="AK23" s="87"/>
    </row>
    <row r="24" spans="1:3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51"/>
      <c r="S24" s="51"/>
      <c r="T24" s="51"/>
      <c r="U24" s="57"/>
      <c r="V24" s="57"/>
      <c r="W24" s="57"/>
      <c r="X24" s="57"/>
      <c r="Y24" s="57"/>
      <c r="Z24" s="57"/>
      <c r="AA24" s="57"/>
      <c r="AB24" s="87"/>
      <c r="AC24" s="87"/>
      <c r="AD24" s="87"/>
      <c r="AE24" s="87"/>
      <c r="AF24" s="87"/>
      <c r="AG24" s="87"/>
      <c r="AH24" s="87"/>
      <c r="AI24" s="87"/>
      <c r="AJ24" s="87"/>
      <c r="AK24" s="87"/>
    </row>
    <row r="25" spans="1:3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51"/>
      <c r="S25" s="51"/>
      <c r="T25" s="51"/>
      <c r="U25" s="57"/>
      <c r="V25" s="57"/>
      <c r="W25" s="57"/>
      <c r="X25" s="57"/>
      <c r="Y25" s="57"/>
      <c r="Z25" s="57"/>
      <c r="AA25" s="5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1:37" s="2" customFormat="1">
      <c r="A26" s="86" t="s">
        <v>28</v>
      </c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7"/>
      <c r="N26" s="7"/>
      <c r="O26" s="7"/>
      <c r="P26" s="7"/>
      <c r="R26" s="51"/>
      <c r="S26" s="51"/>
      <c r="T26" s="51"/>
      <c r="U26" s="57"/>
      <c r="V26" s="57"/>
      <c r="W26" s="57"/>
      <c r="X26" s="57"/>
      <c r="Y26" s="57"/>
      <c r="Z26" s="57"/>
      <c r="AA26" s="57"/>
      <c r="AB26" s="87"/>
      <c r="AC26" s="87"/>
      <c r="AD26" s="87"/>
      <c r="AE26" s="87"/>
      <c r="AF26" s="87"/>
      <c r="AG26" s="87"/>
      <c r="AH26" s="87"/>
      <c r="AI26" s="87"/>
      <c r="AJ26" s="87"/>
      <c r="AK26" s="87"/>
    </row>
    <row r="27" spans="1:37" s="2" customFormat="1">
      <c r="A27" s="2" t="s">
        <v>29</v>
      </c>
      <c r="J27" s="4"/>
      <c r="K27" s="4"/>
      <c r="L27" s="4"/>
      <c r="P27" s="7"/>
      <c r="R27" s="51"/>
      <c r="S27" s="70" t="s">
        <v>93</v>
      </c>
      <c r="T27" s="51"/>
      <c r="U27" s="57"/>
      <c r="V27" s="57"/>
      <c r="W27" s="57"/>
      <c r="X27" s="57"/>
      <c r="Y27" s="57"/>
      <c r="Z27" s="57"/>
      <c r="AA27" s="57"/>
      <c r="AB27" s="93" t="s">
        <v>93</v>
      </c>
      <c r="AC27" s="87"/>
      <c r="AD27" s="87"/>
      <c r="AE27" s="87"/>
      <c r="AF27" s="87"/>
      <c r="AG27" s="87"/>
      <c r="AH27" s="87"/>
      <c r="AI27" s="87"/>
      <c r="AJ27" s="87"/>
      <c r="AK27" s="87"/>
    </row>
    <row r="28" spans="1:37" s="2" customFormat="1">
      <c r="A28" s="24">
        <f ca="1">U28</f>
        <v>0.47199999999999998</v>
      </c>
      <c r="B28" s="2" t="s">
        <v>30</v>
      </c>
      <c r="J28" s="4"/>
      <c r="K28" s="4"/>
      <c r="L28" s="4"/>
      <c r="P28" s="7"/>
      <c r="R28" s="51" t="s">
        <v>81</v>
      </c>
      <c r="S28" s="51" t="s">
        <v>86</v>
      </c>
      <c r="T28" s="51"/>
      <c r="U28" s="57" cm="1">
        <f t="array" aca="1" ref="U28" ca="1">ROUND(IF($R28="Y",VLOOKUP($S28,INDIRECT($S$2),U$5,0)*INDIRECT($R$1),VLOOKUP($S28,INDIRECT($S$2),U$5,0)),3)</f>
        <v>0.47199999999999998</v>
      </c>
      <c r="V28" s="57"/>
      <c r="W28" s="57"/>
      <c r="X28" s="57"/>
      <c r="Y28" s="57"/>
      <c r="Z28" s="57"/>
      <c r="AA28" s="57"/>
      <c r="AB28" s="87" t="str">
        <f>S28</f>
        <v>10th Year</v>
      </c>
      <c r="AC28" s="87"/>
      <c r="AD28" s="91">
        <f ca="1">U28</f>
        <v>0.47199999999999998</v>
      </c>
      <c r="AE28" s="87"/>
      <c r="AF28" s="87"/>
      <c r="AG28" s="87"/>
      <c r="AH28" s="87"/>
      <c r="AI28" s="87"/>
      <c r="AJ28" s="87"/>
      <c r="AK28" s="87"/>
    </row>
    <row r="29" spans="1:37" s="2" customFormat="1">
      <c r="A29" s="24">
        <f ca="1">U29</f>
        <v>0.60799999999999998</v>
      </c>
      <c r="B29" s="2" t="s">
        <v>31</v>
      </c>
      <c r="J29" s="4"/>
      <c r="K29" s="4"/>
      <c r="L29" s="4"/>
      <c r="P29" s="7"/>
      <c r="R29" s="51" t="s">
        <v>81</v>
      </c>
      <c r="S29" s="51" t="s">
        <v>87</v>
      </c>
      <c r="T29" s="51"/>
      <c r="U29" s="57" cm="1">
        <f t="array" aca="1" ref="U29" ca="1">ROUND(IF($R29="Y",VLOOKUP($S29,INDIRECT($S$2),U$5,0)*INDIRECT($R$1),VLOOKUP($S29,INDIRECT($S$2),U$5,0)),3)</f>
        <v>0.60799999999999998</v>
      </c>
      <c r="V29" s="57"/>
      <c r="W29" s="57"/>
      <c r="X29" s="57"/>
      <c r="Y29" s="57"/>
      <c r="Z29" s="57"/>
      <c r="AA29" s="57"/>
      <c r="AB29" s="87" t="str">
        <f t="shared" ref="AB29:AB31" si="6">S29</f>
        <v>15th Year</v>
      </c>
      <c r="AC29" s="87"/>
      <c r="AD29" s="91">
        <f t="shared" ref="AD29:AD31" ca="1" si="7">U29</f>
        <v>0.60799999999999998</v>
      </c>
      <c r="AE29" s="87"/>
      <c r="AF29" s="87"/>
      <c r="AG29" s="87"/>
      <c r="AH29" s="87"/>
      <c r="AI29" s="87"/>
      <c r="AJ29" s="87"/>
      <c r="AK29" s="87"/>
    </row>
    <row r="30" spans="1:37" s="2" customFormat="1">
      <c r="A30" s="24">
        <f ca="1">U30</f>
        <v>0.745</v>
      </c>
      <c r="B30" s="2" t="s">
        <v>32</v>
      </c>
      <c r="J30" s="4"/>
      <c r="K30" s="4"/>
      <c r="L30" s="4"/>
      <c r="P30" s="7"/>
      <c r="R30" s="51" t="s">
        <v>81</v>
      </c>
      <c r="S30" s="51" t="s">
        <v>88</v>
      </c>
      <c r="T30" s="51"/>
      <c r="U30" s="57" cm="1">
        <f t="array" aca="1" ref="U30" ca="1">ROUND(IF($R30="Y",VLOOKUP($S30,INDIRECT($S$2),U$5,0)*INDIRECT($R$1),VLOOKUP($S30,INDIRECT($S$2),U$5,0)),3)</f>
        <v>0.745</v>
      </c>
      <c r="V30" s="57"/>
      <c r="W30" s="57"/>
      <c r="X30" s="57"/>
      <c r="Y30" s="57"/>
      <c r="Z30" s="57"/>
      <c r="AA30" s="57"/>
      <c r="AB30" s="87" t="str">
        <f t="shared" si="6"/>
        <v>20th Year</v>
      </c>
      <c r="AC30" s="87"/>
      <c r="AD30" s="91">
        <f t="shared" ca="1" si="7"/>
        <v>0.745</v>
      </c>
      <c r="AE30" s="87"/>
      <c r="AF30" s="87"/>
      <c r="AG30" s="87"/>
      <c r="AH30" s="87"/>
      <c r="AI30" s="87"/>
      <c r="AJ30" s="87"/>
      <c r="AK30" s="87"/>
    </row>
    <row r="31" spans="1:37" s="2" customFormat="1">
      <c r="A31" s="24">
        <f ca="1">U31</f>
        <v>0.88200000000000001</v>
      </c>
      <c r="B31" s="2" t="s">
        <v>33</v>
      </c>
      <c r="J31" s="4"/>
      <c r="K31" s="4"/>
      <c r="L31" s="4"/>
      <c r="P31" s="7"/>
      <c r="R31" s="51" t="s">
        <v>81</v>
      </c>
      <c r="S31" s="51" t="s">
        <v>89</v>
      </c>
      <c r="T31" s="51"/>
      <c r="U31" s="57" cm="1">
        <f t="array" aca="1" ref="U31" ca="1">ROUND(IF($R31="Y",VLOOKUP($S31,INDIRECT($S$2),U$5,0)*INDIRECT($R$1),VLOOKUP($S31,INDIRECT($S$2),U$5,0)),3)</f>
        <v>0.88200000000000001</v>
      </c>
      <c r="V31" s="57"/>
      <c r="W31" s="57"/>
      <c r="X31" s="57"/>
      <c r="Y31" s="57"/>
      <c r="Z31" s="57"/>
      <c r="AA31" s="57"/>
      <c r="AB31" s="87" t="str">
        <f t="shared" si="6"/>
        <v>25th Year</v>
      </c>
      <c r="AC31" s="87"/>
      <c r="AD31" s="91">
        <f t="shared" ca="1" si="7"/>
        <v>0.88200000000000001</v>
      </c>
      <c r="AE31" s="87"/>
      <c r="AF31" s="87"/>
      <c r="AG31" s="87"/>
      <c r="AH31" s="87"/>
      <c r="AI31" s="87"/>
      <c r="AJ31" s="87"/>
      <c r="AK31" s="87"/>
    </row>
    <row r="32" spans="1:37" s="2" customFormat="1">
      <c r="A32" s="1"/>
      <c r="B32" s="1"/>
      <c r="C32" s="1"/>
      <c r="D32" s="7"/>
      <c r="E32" s="1"/>
      <c r="F32" s="1"/>
      <c r="G32" s="1"/>
      <c r="H32" s="1"/>
      <c r="I32" s="1"/>
      <c r="J32" s="1"/>
      <c r="K32" s="1"/>
      <c r="L32" s="1"/>
      <c r="M32" s="7"/>
      <c r="N32" s="7"/>
      <c r="O32" s="1"/>
      <c r="P32" s="1"/>
      <c r="R32" s="51"/>
      <c r="S32" s="51"/>
      <c r="T32" s="51"/>
      <c r="U32" s="57"/>
      <c r="V32" s="57"/>
      <c r="W32" s="57"/>
      <c r="X32" s="57"/>
      <c r="Y32" s="57"/>
      <c r="Z32" s="57"/>
      <c r="AA32" s="57"/>
      <c r="AB32" s="87"/>
      <c r="AC32" s="87"/>
      <c r="AD32" s="87"/>
      <c r="AE32" s="87"/>
      <c r="AF32" s="87"/>
      <c r="AG32" s="87"/>
      <c r="AH32" s="87"/>
      <c r="AI32" s="87"/>
      <c r="AJ32" s="87"/>
      <c r="AK32" s="87"/>
    </row>
    <row r="33" spans="1:37" s="26" customFormat="1">
      <c r="A33" s="25" t="s">
        <v>35</v>
      </c>
      <c r="E33" s="27"/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63"/>
      <c r="S33" s="63"/>
      <c r="T33" s="63"/>
      <c r="U33" s="64"/>
      <c r="V33" s="64"/>
      <c r="W33" s="64"/>
      <c r="X33" s="64"/>
      <c r="Y33" s="64"/>
      <c r="Z33" s="64"/>
      <c r="AA33" s="64"/>
      <c r="AB33" s="94"/>
      <c r="AC33" s="94"/>
      <c r="AD33" s="94"/>
      <c r="AE33" s="94"/>
      <c r="AF33" s="94"/>
      <c r="AG33" s="94"/>
      <c r="AH33" s="94"/>
      <c r="AI33" s="94"/>
      <c r="AJ33" s="94"/>
      <c r="AK33" s="94"/>
    </row>
    <row r="34" spans="1:37" s="2" customFormat="1">
      <c r="A34" s="37" t="s">
        <v>57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51"/>
      <c r="S34" s="51"/>
      <c r="T34" s="51"/>
      <c r="U34" s="57"/>
      <c r="V34" s="57"/>
      <c r="W34" s="57"/>
      <c r="X34" s="57"/>
      <c r="Y34" s="57"/>
      <c r="Z34" s="57"/>
      <c r="AA34" s="57"/>
      <c r="AB34" s="87"/>
      <c r="AC34" s="87"/>
      <c r="AD34" s="87"/>
      <c r="AE34" s="87"/>
      <c r="AF34" s="87"/>
      <c r="AG34" s="87"/>
      <c r="AH34" s="87"/>
      <c r="AI34" s="87"/>
      <c r="AJ34" s="87"/>
      <c r="AK34" s="87"/>
    </row>
    <row r="35" spans="1:37" s="2" customFormat="1">
      <c r="A35" s="2" t="str">
        <f>"Dispatcher's hourly top-step rate of pay. Coaching/Training Premium = "&amp;TEXT(U35,"$0.000")&amp;" per hour assigned and coaching/training."</f>
        <v>Dispatcher's hourly top-step rate of pay. Coaching/Training Premium = $7.905 per hour assigned and coaching/training.</v>
      </c>
      <c r="G35" s="4"/>
      <c r="J35" s="34"/>
      <c r="K35" s="3"/>
      <c r="M35" s="4"/>
      <c r="N35" s="4"/>
      <c r="O35" s="4"/>
      <c r="P35" s="1"/>
      <c r="R35" s="51" t="s">
        <v>81</v>
      </c>
      <c r="S35" s="51" t="s">
        <v>140</v>
      </c>
      <c r="T35" s="51" t="s">
        <v>35</v>
      </c>
      <c r="U35" s="57">
        <f>AA7*0.2</f>
        <v>7.9046000000000012</v>
      </c>
      <c r="V35" s="51"/>
      <c r="W35" s="68" t="s">
        <v>96</v>
      </c>
      <c r="X35" s="57"/>
      <c r="Y35" s="57"/>
      <c r="Z35" s="57"/>
      <c r="AA35" s="57"/>
      <c r="AB35" s="87" t="str">
        <f t="shared" ref="AB35:AD35" si="8">S35</f>
        <v>COA</v>
      </c>
      <c r="AC35" s="87" t="str">
        <f t="shared" si="8"/>
        <v>Coaching/Training Premium</v>
      </c>
      <c r="AD35" s="91">
        <f t="shared" si="8"/>
        <v>7.9046000000000012</v>
      </c>
      <c r="AE35" s="87"/>
      <c r="AF35" s="87"/>
      <c r="AG35" s="87"/>
      <c r="AH35" s="87"/>
      <c r="AI35" s="87"/>
      <c r="AJ35" s="87"/>
      <c r="AK35" s="87"/>
    </row>
    <row r="36" spans="1:37" s="2" customFormat="1">
      <c r="A36" s="3"/>
      <c r="E36" s="4"/>
      <c r="F36" s="4"/>
      <c r="G36" s="4"/>
      <c r="H36" s="4"/>
      <c r="J36" s="32"/>
      <c r="K36" s="3"/>
      <c r="L36" s="4"/>
      <c r="M36" s="4"/>
      <c r="N36" s="4"/>
      <c r="O36" s="4"/>
      <c r="P36" s="1"/>
      <c r="R36" s="51"/>
      <c r="S36" s="51"/>
      <c r="T36" s="51"/>
      <c r="U36" s="57"/>
      <c r="V36" s="57"/>
      <c r="W36" s="57"/>
      <c r="X36" s="57"/>
      <c r="Y36" s="57"/>
      <c r="Z36" s="57"/>
      <c r="AA36" s="5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pans="1:37" s="2" customFormat="1">
      <c r="A37" s="25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51"/>
      <c r="S37" s="51"/>
      <c r="T37" s="51"/>
      <c r="U37" s="57"/>
      <c r="V37" s="57"/>
      <c r="W37" s="57"/>
      <c r="X37" s="57"/>
      <c r="Y37" s="57"/>
      <c r="Z37" s="57"/>
      <c r="AA37" s="57"/>
      <c r="AB37" s="87"/>
      <c r="AC37" s="87"/>
      <c r="AD37" s="87"/>
      <c r="AE37" s="87"/>
      <c r="AF37" s="87"/>
      <c r="AG37" s="87"/>
      <c r="AH37" s="87"/>
      <c r="AI37" s="87"/>
      <c r="AJ37" s="87"/>
      <c r="AK37" s="87"/>
    </row>
    <row r="38" spans="1:37" s="2" customFormat="1">
      <c r="A38" s="40" t="s">
        <v>62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51"/>
      <c r="S38" s="51"/>
      <c r="T38" s="51"/>
      <c r="U38" s="57"/>
      <c r="V38" s="57"/>
      <c r="W38" s="57"/>
      <c r="X38" s="57"/>
      <c r="Y38" s="57"/>
      <c r="Z38" s="57"/>
      <c r="AA38" s="57"/>
      <c r="AB38" s="87"/>
      <c r="AC38" s="87"/>
      <c r="AD38" s="87"/>
      <c r="AE38" s="87"/>
      <c r="AF38" s="87"/>
      <c r="AG38" s="87"/>
      <c r="AH38" s="87"/>
      <c r="AI38" s="87"/>
      <c r="AJ38" s="87"/>
      <c r="AK38" s="87"/>
    </row>
    <row r="39" spans="1:37" s="2" customFormat="1">
      <c r="A39" s="2" t="s">
        <v>63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51"/>
      <c r="S39" s="51"/>
      <c r="T39" s="51"/>
      <c r="U39" s="57"/>
      <c r="V39" s="57"/>
      <c r="W39" s="57"/>
      <c r="X39" s="57"/>
      <c r="Y39" s="57"/>
      <c r="Z39" s="57"/>
      <c r="AA39" s="57"/>
      <c r="AB39" s="87"/>
      <c r="AC39" s="87"/>
      <c r="AD39" s="87"/>
      <c r="AE39" s="87"/>
      <c r="AF39" s="87"/>
      <c r="AG39" s="87"/>
      <c r="AH39" s="87"/>
      <c r="AI39" s="87"/>
      <c r="AJ39" s="87"/>
      <c r="AK39" s="87"/>
    </row>
    <row r="40" spans="1:37" s="2" customFormat="1">
      <c r="I40" s="73" t="s">
        <v>60</v>
      </c>
      <c r="J40" s="12" t="s">
        <v>71</v>
      </c>
      <c r="K40" s="12" t="s">
        <v>72</v>
      </c>
      <c r="L40" s="12" t="s">
        <v>73</v>
      </c>
      <c r="M40" s="12" t="s">
        <v>74</v>
      </c>
      <c r="N40" s="12" t="s">
        <v>75</v>
      </c>
      <c r="O40" s="12" t="s">
        <v>76</v>
      </c>
      <c r="P40" s="12" t="s">
        <v>77</v>
      </c>
      <c r="R40" s="51" t="s">
        <v>81</v>
      </c>
      <c r="S40" s="66"/>
      <c r="T40" s="66"/>
      <c r="U40" s="66"/>
      <c r="V40" s="61"/>
      <c r="W40" s="69" t="s">
        <v>98</v>
      </c>
      <c r="X40" s="66"/>
      <c r="Y40" s="66"/>
      <c r="Z40" s="51"/>
      <c r="AA40" s="51"/>
      <c r="AB40" s="87"/>
      <c r="AC40" s="87"/>
      <c r="AD40" s="87"/>
      <c r="AE40" s="87"/>
      <c r="AF40" s="87"/>
      <c r="AG40" s="87"/>
      <c r="AH40" s="87"/>
      <c r="AI40" s="87"/>
      <c r="AJ40" s="87"/>
      <c r="AK40" s="87"/>
    </row>
    <row r="41" spans="1:37">
      <c r="I41" s="74" t="s">
        <v>61</v>
      </c>
      <c r="J41" s="14">
        <f>ROUND(HLOOKUP(J40,$I$6:$O$7,2)*1.5,3)</f>
        <v>43.597999999999999</v>
      </c>
      <c r="K41" s="14">
        <f t="shared" ref="K41:P41" si="9">ROUND(HLOOKUP(K40,$I$6:$O$7,2)*1.5,3)</f>
        <v>45.875</v>
      </c>
      <c r="L41" s="14">
        <f t="shared" si="9"/>
        <v>48.280999999999999</v>
      </c>
      <c r="M41" s="14">
        <f t="shared" si="9"/>
        <v>50.817</v>
      </c>
      <c r="N41" s="14">
        <f t="shared" si="9"/>
        <v>53.508000000000003</v>
      </c>
      <c r="O41" s="14">
        <f t="shared" si="9"/>
        <v>56.33</v>
      </c>
      <c r="P41" s="14">
        <f t="shared" si="9"/>
        <v>59.284999999999997</v>
      </c>
      <c r="V41" s="67"/>
      <c r="W41" s="67"/>
      <c r="X41" s="67"/>
      <c r="Y41" s="67"/>
      <c r="AD41" s="91"/>
    </row>
    <row r="42" spans="1:37">
      <c r="AD42" s="91"/>
    </row>
    <row r="43" spans="1:37">
      <c r="AD43" s="91"/>
    </row>
    <row r="44" spans="1:37">
      <c r="AD44" s="91"/>
    </row>
    <row r="45" spans="1:37">
      <c r="AD45" s="91"/>
    </row>
    <row r="46" spans="1:37">
      <c r="AD46" s="91"/>
    </row>
  </sheetData>
  <mergeCells count="1">
    <mergeCell ref="A1:O1"/>
  </mergeCells>
  <pageMargins left="0.25" right="0.25" top="0.5" bottom="0.25" header="0.5" footer="0.5"/>
  <pageSetup scale="51" orientation="landscape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D1C7-87C2-4642-A5DD-5EDB3CCBB391}">
  <sheetPr>
    <pageSetUpPr fitToPage="1"/>
  </sheetPr>
  <dimension ref="A1:AK46"/>
  <sheetViews>
    <sheetView showGridLines="0" topLeftCell="A6" zoomScaleNormal="100" workbookViewId="0">
      <selection activeCell="U36" sqref="U36"/>
    </sheetView>
  </sheetViews>
  <sheetFormatPr defaultColWidth="9.1328125" defaultRowHeight="15.75"/>
  <cols>
    <col min="1" max="1" width="10.73046875" style="29" customWidth="1"/>
    <col min="2" max="2" width="6.73046875" style="29" customWidth="1"/>
    <col min="3" max="3" width="4.86328125" style="29" bestFit="1" customWidth="1"/>
    <col min="4" max="4" width="18.73046875" style="29" bestFit="1" customWidth="1"/>
    <col min="5" max="5" width="4.59765625" style="29" bestFit="1" customWidth="1"/>
    <col min="6" max="6" width="7" style="29" bestFit="1" customWidth="1"/>
    <col min="7" max="7" width="6.86328125" style="29" bestFit="1" customWidth="1"/>
    <col min="8" max="8" width="5.73046875" style="29" bestFit="1" customWidth="1"/>
    <col min="9" max="9" width="9.73046875" style="29" customWidth="1"/>
    <col min="10" max="15" width="8.59765625" style="29" bestFit="1" customWidth="1"/>
    <col min="16" max="16" width="8.3984375" style="29" bestFit="1" customWidth="1"/>
    <col min="17" max="17" width="9.1328125" style="29" hidden="1" customWidth="1"/>
    <col min="18" max="18" width="12.265625" style="51" bestFit="1" customWidth="1"/>
    <col min="19" max="19" width="15.73046875" style="51" bestFit="1" customWidth="1"/>
    <col min="20" max="20" width="27.59765625" style="51" bestFit="1" customWidth="1"/>
    <col min="21" max="22" width="8.3984375" style="57" bestFit="1" customWidth="1"/>
    <col min="23" max="23" width="23.73046875" style="57" bestFit="1" customWidth="1"/>
    <col min="24" max="27" width="8.3984375" style="57" bestFit="1" customWidth="1"/>
    <col min="28" max="28" width="15.73046875" style="87" bestFit="1" customWidth="1"/>
    <col min="29" max="29" width="30.59765625" style="87" bestFit="1" customWidth="1"/>
    <col min="30" max="30" width="7.265625" style="87" bestFit="1" customWidth="1"/>
    <col min="31" max="37" width="8.3984375" style="87" bestFit="1" customWidth="1"/>
    <col min="38" max="38" width="9.1328125" style="29" customWidth="1"/>
    <col min="39" max="16384" width="9.1328125" style="29"/>
  </cols>
  <sheetData>
    <row r="1" spans="1:37" s="2" customForma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R1" s="51" t="s">
        <v>118</v>
      </c>
      <c r="S1" s="84">
        <v>1.1347</v>
      </c>
      <c r="T1" s="51"/>
      <c r="U1" s="57"/>
      <c r="V1" s="57"/>
      <c r="W1" s="57"/>
      <c r="X1" s="57"/>
      <c r="Y1" s="57"/>
      <c r="Z1" s="57"/>
      <c r="AA1" s="5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37" s="2" customFormat="1">
      <c r="C2" s="3"/>
      <c r="D2" s="4"/>
      <c r="G2" s="4"/>
      <c r="H2" s="4"/>
      <c r="I2" s="5"/>
      <c r="J2" s="4" t="s">
        <v>1</v>
      </c>
      <c r="K2" s="4"/>
      <c r="L2" s="4"/>
      <c r="M2" s="4" t="s">
        <v>1</v>
      </c>
      <c r="N2" s="4"/>
      <c r="O2" s="4"/>
      <c r="P2" s="1"/>
      <c r="R2" s="51" t="s">
        <v>119</v>
      </c>
      <c r="S2" s="55" t="s">
        <v>122</v>
      </c>
      <c r="T2" s="51"/>
      <c r="U2" s="57"/>
      <c r="V2" s="57"/>
      <c r="W2" s="57"/>
      <c r="X2" s="57"/>
      <c r="Y2" s="57"/>
      <c r="Z2" s="57"/>
      <c r="AA2" s="5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37" s="2" customFormat="1">
      <c r="A3" s="2" t="s">
        <v>154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  <c r="R3" s="51"/>
      <c r="S3" s="51"/>
      <c r="T3" s="51"/>
      <c r="U3" s="57"/>
      <c r="V3" s="57"/>
      <c r="W3" s="57"/>
      <c r="X3" s="57"/>
      <c r="Y3" s="57"/>
      <c r="Z3" s="57"/>
      <c r="AA3" s="57"/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37" s="2" customFormat="1" ht="15" customHeight="1">
      <c r="A4" s="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R4" s="51"/>
      <c r="S4" s="51"/>
      <c r="T4" s="51"/>
      <c r="U4" s="57"/>
      <c r="V4" s="57"/>
      <c r="W4" s="57"/>
      <c r="X4" s="57"/>
      <c r="Y4" s="57"/>
      <c r="Z4" s="57"/>
      <c r="AA4" s="57"/>
      <c r="AB4" s="95" t="s">
        <v>133</v>
      </c>
      <c r="AC4" s="87"/>
      <c r="AD4" s="87"/>
      <c r="AE4" s="87"/>
      <c r="AF4" s="87"/>
      <c r="AG4" s="87"/>
      <c r="AH4" s="87"/>
      <c r="AI4" s="87"/>
      <c r="AJ4" s="87"/>
      <c r="AK4" s="87"/>
    </row>
    <row r="5" spans="1:37" s="2" customFormat="1" ht="15" customHeight="1">
      <c r="A5" s="106"/>
      <c r="B5" s="3"/>
      <c r="C5" s="4"/>
      <c r="D5" s="106"/>
      <c r="E5" s="106"/>
      <c r="F5" s="106"/>
      <c r="G5" s="9"/>
      <c r="H5" s="9"/>
      <c r="I5" s="10"/>
      <c r="J5" s="9"/>
      <c r="K5" s="9"/>
      <c r="L5" s="9"/>
      <c r="M5" s="9"/>
      <c r="N5" s="9"/>
      <c r="O5" s="4"/>
      <c r="P5" s="7"/>
      <c r="R5" s="51"/>
      <c r="S5" s="51"/>
      <c r="T5" s="51"/>
      <c r="U5" s="82">
        <v>3</v>
      </c>
      <c r="V5" s="82">
        <f>U5+1</f>
        <v>4</v>
      </c>
      <c r="W5" s="82">
        <f t="shared" ref="W5:AA5" si="0">V5+1</f>
        <v>5</v>
      </c>
      <c r="X5" s="82">
        <f t="shared" si="0"/>
        <v>6</v>
      </c>
      <c r="Y5" s="82">
        <f t="shared" si="0"/>
        <v>7</v>
      </c>
      <c r="Z5" s="82">
        <f t="shared" si="0"/>
        <v>8</v>
      </c>
      <c r="AA5" s="82">
        <f t="shared" si="0"/>
        <v>9</v>
      </c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37" s="2" customFormat="1" ht="31.5" customHeight="1">
      <c r="A6" s="45" t="s">
        <v>78</v>
      </c>
      <c r="B6" s="12" t="s">
        <v>12</v>
      </c>
      <c r="C6" s="12" t="s">
        <v>13</v>
      </c>
      <c r="D6" s="11" t="s">
        <v>14</v>
      </c>
      <c r="E6" s="12" t="s">
        <v>15</v>
      </c>
      <c r="F6" s="45" t="s">
        <v>68</v>
      </c>
      <c r="G6" s="45" t="s">
        <v>66</v>
      </c>
      <c r="H6" s="45" t="s">
        <v>67</v>
      </c>
      <c r="I6" s="13" t="s">
        <v>71</v>
      </c>
      <c r="J6" s="13" t="s">
        <v>72</v>
      </c>
      <c r="K6" s="13" t="s">
        <v>73</v>
      </c>
      <c r="L6" s="13" t="s">
        <v>74</v>
      </c>
      <c r="M6" s="13" t="s">
        <v>75</v>
      </c>
      <c r="N6" s="13" t="s">
        <v>76</v>
      </c>
      <c r="O6" s="13" t="s">
        <v>77</v>
      </c>
      <c r="P6" s="7"/>
      <c r="R6" s="51" t="s">
        <v>80</v>
      </c>
      <c r="S6" s="52" t="s">
        <v>78</v>
      </c>
      <c r="T6" s="53" t="s">
        <v>14</v>
      </c>
      <c r="U6" s="54" t="s">
        <v>71</v>
      </c>
      <c r="V6" s="54" t="s">
        <v>72</v>
      </c>
      <c r="W6" s="54" t="s">
        <v>73</v>
      </c>
      <c r="X6" s="54" t="s">
        <v>74</v>
      </c>
      <c r="Y6" s="54" t="s">
        <v>75</v>
      </c>
      <c r="Z6" s="54" t="s">
        <v>76</v>
      </c>
      <c r="AA6" s="54" t="s">
        <v>77</v>
      </c>
      <c r="AB6" s="88" t="s">
        <v>78</v>
      </c>
      <c r="AC6" s="89" t="s">
        <v>14</v>
      </c>
      <c r="AD6" s="88" t="s">
        <v>68</v>
      </c>
      <c r="AE6" s="90" t="s">
        <v>71</v>
      </c>
      <c r="AF6" s="90" t="s">
        <v>72</v>
      </c>
      <c r="AG6" s="90" t="s">
        <v>73</v>
      </c>
      <c r="AH6" s="90" t="s">
        <v>74</v>
      </c>
      <c r="AI6" s="90" t="s">
        <v>75</v>
      </c>
      <c r="AJ6" s="90" t="s">
        <v>76</v>
      </c>
      <c r="AK6" s="90" t="s">
        <v>77</v>
      </c>
    </row>
    <row r="7" spans="1:37" s="2" customFormat="1">
      <c r="A7" s="4" t="s">
        <v>21</v>
      </c>
      <c r="B7" s="4" t="s">
        <v>19</v>
      </c>
      <c r="C7" s="4">
        <v>2</v>
      </c>
      <c r="D7" s="7" t="s">
        <v>22</v>
      </c>
      <c r="E7" s="4">
        <v>336</v>
      </c>
      <c r="F7" s="46" t="s">
        <v>69</v>
      </c>
      <c r="G7" s="4">
        <v>7</v>
      </c>
      <c r="H7" s="4" t="s">
        <v>20</v>
      </c>
      <c r="I7" s="14">
        <f>U7</f>
        <v>30.966000000000001</v>
      </c>
      <c r="J7" s="14">
        <f t="shared" ref="J7:O8" si="1">V7</f>
        <v>32.582999999999998</v>
      </c>
      <c r="K7" s="14">
        <f t="shared" si="1"/>
        <v>34.292000000000002</v>
      </c>
      <c r="L7" s="14">
        <f t="shared" si="1"/>
        <v>36.094000000000001</v>
      </c>
      <c r="M7" s="14">
        <f t="shared" si="1"/>
        <v>38.005000000000003</v>
      </c>
      <c r="N7" s="14">
        <f t="shared" si="1"/>
        <v>40.009</v>
      </c>
      <c r="O7" s="14">
        <f t="shared" si="1"/>
        <v>42.107999999999997</v>
      </c>
      <c r="P7" s="7"/>
      <c r="R7" s="51" t="s">
        <v>81</v>
      </c>
      <c r="S7" s="55" t="s">
        <v>21</v>
      </c>
      <c r="T7" s="56" t="str">
        <f>D7</f>
        <v>911 Dispatcher</v>
      </c>
      <c r="U7" s="66">
        <v>30.966000000000001</v>
      </c>
      <c r="V7" s="66">
        <v>32.582999999999998</v>
      </c>
      <c r="W7" s="66">
        <v>34.292000000000002</v>
      </c>
      <c r="X7" s="66">
        <v>36.094000000000001</v>
      </c>
      <c r="Y7" s="66">
        <v>38.005000000000003</v>
      </c>
      <c r="Z7" s="66">
        <v>40.009</v>
      </c>
      <c r="AA7" s="66">
        <v>42.107999999999997</v>
      </c>
      <c r="AB7" s="87" t="str">
        <f>S7</f>
        <v>00011C</v>
      </c>
      <c r="AC7" s="87" t="str">
        <f>T7</f>
        <v>911 Dispatcher</v>
      </c>
      <c r="AD7" s="96" t="str">
        <f>F7</f>
        <v>02</v>
      </c>
      <c r="AE7" s="91">
        <f>ROUND(U7,3)</f>
        <v>30.966000000000001</v>
      </c>
      <c r="AF7" s="91">
        <f t="shared" ref="AF7:AK8" si="2">ROUND(V7,3)</f>
        <v>32.582999999999998</v>
      </c>
      <c r="AG7" s="91">
        <f t="shared" si="2"/>
        <v>34.292000000000002</v>
      </c>
      <c r="AH7" s="91">
        <f t="shared" si="2"/>
        <v>36.094000000000001</v>
      </c>
      <c r="AI7" s="91">
        <f t="shared" si="2"/>
        <v>38.005000000000003</v>
      </c>
      <c r="AJ7" s="91">
        <f t="shared" si="2"/>
        <v>40.009</v>
      </c>
      <c r="AK7" s="91">
        <f t="shared" si="2"/>
        <v>42.107999999999997</v>
      </c>
    </row>
    <row r="8" spans="1:37" s="2" customFormat="1">
      <c r="A8" s="4" t="s">
        <v>113</v>
      </c>
      <c r="B8" s="4" t="s">
        <v>19</v>
      </c>
      <c r="C8" s="4">
        <v>2</v>
      </c>
      <c r="D8" s="7" t="s">
        <v>115</v>
      </c>
      <c r="E8" s="4">
        <v>308</v>
      </c>
      <c r="F8" s="46" t="s">
        <v>132</v>
      </c>
      <c r="G8" s="4">
        <v>6</v>
      </c>
      <c r="H8" s="4" t="s">
        <v>20</v>
      </c>
      <c r="I8" s="14">
        <f>U8</f>
        <v>29.545000000000002</v>
      </c>
      <c r="J8" s="14">
        <f t="shared" si="1"/>
        <v>31.106000000000002</v>
      </c>
      <c r="K8" s="14">
        <f t="shared" si="1"/>
        <v>32.743000000000002</v>
      </c>
      <c r="L8" s="14">
        <f t="shared" si="1"/>
        <v>34.460999999999999</v>
      </c>
      <c r="M8" s="14">
        <f t="shared" si="1"/>
        <v>36.277000000000001</v>
      </c>
      <c r="N8" s="14">
        <f t="shared" si="1"/>
        <v>38.185000000000002</v>
      </c>
      <c r="O8" s="14">
        <f t="shared" si="1"/>
        <v>40.19</v>
      </c>
      <c r="P8" s="7"/>
      <c r="R8" s="51" t="s">
        <v>81</v>
      </c>
      <c r="S8" s="55" t="s">
        <v>113</v>
      </c>
      <c r="T8" s="56" t="str">
        <f>D8</f>
        <v>911 Call Taker</v>
      </c>
      <c r="U8" s="66">
        <v>29.545000000000002</v>
      </c>
      <c r="V8" s="66">
        <v>31.106000000000002</v>
      </c>
      <c r="W8" s="66">
        <v>32.743000000000002</v>
      </c>
      <c r="X8" s="66">
        <v>34.460999999999999</v>
      </c>
      <c r="Y8" s="66">
        <v>36.277000000000001</v>
      </c>
      <c r="Z8" s="66">
        <v>38.185000000000002</v>
      </c>
      <c r="AA8" s="66">
        <v>40.19</v>
      </c>
      <c r="AB8" s="87" t="str">
        <f>S8</f>
        <v>00020C</v>
      </c>
      <c r="AC8" s="87" t="str">
        <f>T8</f>
        <v>911 Call Taker</v>
      </c>
      <c r="AD8" s="96" t="str">
        <f>F8</f>
        <v>01</v>
      </c>
      <c r="AE8" s="91">
        <f>ROUND(U8,3)</f>
        <v>29.545000000000002</v>
      </c>
      <c r="AF8" s="91">
        <f t="shared" si="2"/>
        <v>31.106000000000002</v>
      </c>
      <c r="AG8" s="91">
        <f t="shared" si="2"/>
        <v>32.743000000000002</v>
      </c>
      <c r="AH8" s="91">
        <f t="shared" si="2"/>
        <v>34.460999999999999</v>
      </c>
      <c r="AI8" s="91">
        <f t="shared" si="2"/>
        <v>36.277000000000001</v>
      </c>
      <c r="AJ8" s="91">
        <f t="shared" si="2"/>
        <v>38.185000000000002</v>
      </c>
      <c r="AK8" s="91">
        <f t="shared" si="2"/>
        <v>40.19</v>
      </c>
    </row>
    <row r="9" spans="1:37" s="7" customFormat="1" ht="16.149999999999999" thickBot="1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R9" s="58"/>
      <c r="S9" s="58"/>
      <c r="T9" s="58"/>
      <c r="U9" s="105"/>
      <c r="V9" s="59"/>
      <c r="W9" s="59"/>
      <c r="X9" s="59"/>
      <c r="Y9" s="59"/>
      <c r="Z9" s="59"/>
      <c r="AA9" s="59"/>
      <c r="AB9" s="92"/>
      <c r="AC9" s="92"/>
      <c r="AD9" s="92"/>
      <c r="AE9" s="92"/>
      <c r="AF9" s="92"/>
      <c r="AG9" s="92"/>
      <c r="AH9" s="92"/>
      <c r="AI9" s="92"/>
      <c r="AJ9" s="92"/>
      <c r="AK9" s="92"/>
    </row>
    <row r="10" spans="1:37" s="2" customFormat="1">
      <c r="A10" s="106" t="s">
        <v>56</v>
      </c>
      <c r="B10" s="4"/>
      <c r="C10" s="4"/>
      <c r="E10" s="4"/>
      <c r="F10" s="4"/>
      <c r="G10" s="4"/>
      <c r="H10" s="4"/>
      <c r="I10" s="4"/>
      <c r="J10" s="4"/>
      <c r="K10" s="4"/>
      <c r="L10" s="4"/>
      <c r="P10" s="7"/>
      <c r="R10" s="51"/>
      <c r="S10" s="51"/>
      <c r="T10" s="51"/>
      <c r="U10" s="57"/>
      <c r="V10" s="57"/>
      <c r="W10" s="57"/>
      <c r="X10" s="57"/>
      <c r="Y10" s="57"/>
      <c r="Z10" s="57"/>
      <c r="AA10" s="57"/>
      <c r="AB10" s="87"/>
      <c r="AC10" s="87"/>
      <c r="AD10" s="87"/>
      <c r="AE10" s="87"/>
      <c r="AF10" s="87"/>
      <c r="AG10" s="87"/>
      <c r="AH10" s="87"/>
      <c r="AI10" s="87"/>
      <c r="AJ10" s="87"/>
      <c r="AK10" s="87"/>
    </row>
    <row r="11" spans="1:37" s="2" customFormat="1">
      <c r="A11" s="2" t="str">
        <f ca="1">"In addition to their base rate of pay, employees shall be paid "&amp;TEXT(U11,"$0.000")&amp; " per hour for all hours worked on any shift that begins"</f>
        <v>In addition to their base rate of pay, employees shall be paid $0.582 per hour for all hours worked on any shift that begins</v>
      </c>
      <c r="B11" s="4"/>
      <c r="C11" s="4"/>
      <c r="E11" s="4"/>
      <c r="F11" s="4"/>
      <c r="G11" s="4"/>
      <c r="I11" s="36"/>
      <c r="J11" s="3"/>
      <c r="K11" s="3"/>
      <c r="L11" s="3"/>
      <c r="M11" s="3"/>
      <c r="N11" s="3"/>
      <c r="P11" s="7"/>
      <c r="R11" s="51" t="s">
        <v>81</v>
      </c>
      <c r="S11" s="60" t="s">
        <v>82</v>
      </c>
      <c r="T11" s="60" t="s">
        <v>83</v>
      </c>
      <c r="U11" s="57" cm="1">
        <f t="array" aca="1" ref="U11" ca="1">ROUND(IF($R11="Y",VLOOKUP($S11,INDIRECT($S$2),U$5,0)*INDIRECT($R$1),VLOOKUP($S11,INDIRECT($S$2),U$5,0)),3)</f>
        <v>0.58199999999999996</v>
      </c>
      <c r="V11" s="57"/>
      <c r="W11" s="57"/>
      <c r="X11" s="61"/>
      <c r="Y11" s="57"/>
      <c r="Z11" s="57"/>
      <c r="AA11" s="57"/>
      <c r="AB11" s="87" t="str">
        <f>S11</f>
        <v>CMNEVE</v>
      </c>
      <c r="AC11" s="87" t="str">
        <f>T11</f>
        <v>TL-Evening Shift Premium-CMN</v>
      </c>
      <c r="AD11" s="91">
        <f ca="1">U11</f>
        <v>0.58199999999999996</v>
      </c>
      <c r="AE11" s="87"/>
      <c r="AF11" s="87"/>
      <c r="AG11" s="87"/>
      <c r="AH11" s="87"/>
      <c r="AI11" s="87"/>
      <c r="AJ11" s="87"/>
      <c r="AK11" s="87"/>
    </row>
    <row r="12" spans="1:37" s="2" customFormat="1">
      <c r="A12" s="2" t="s">
        <v>53</v>
      </c>
      <c r="P12" s="7"/>
      <c r="R12" s="51"/>
      <c r="S12" s="51"/>
      <c r="T12" s="51"/>
      <c r="U12" s="57"/>
      <c r="V12" s="57"/>
      <c r="W12" s="57"/>
      <c r="X12" s="57"/>
      <c r="Y12" s="57"/>
      <c r="Z12" s="57"/>
      <c r="AA12" s="57"/>
      <c r="AB12" s="87"/>
      <c r="AC12" s="87"/>
      <c r="AD12" s="91"/>
      <c r="AE12" s="87"/>
      <c r="AF12" s="87"/>
      <c r="AG12" s="87"/>
      <c r="AH12" s="87"/>
      <c r="AI12" s="87"/>
      <c r="AJ12" s="87"/>
      <c r="AK12" s="87"/>
    </row>
    <row r="13" spans="1:37" s="2" customFormat="1">
      <c r="P13" s="7"/>
      <c r="R13" s="51"/>
      <c r="S13" s="51"/>
      <c r="T13" s="51"/>
      <c r="U13" s="57"/>
      <c r="V13" s="57"/>
      <c r="W13" s="57"/>
      <c r="X13" s="57"/>
      <c r="Y13" s="57"/>
      <c r="Z13" s="57"/>
      <c r="AA13" s="57"/>
      <c r="AB13" s="87"/>
      <c r="AC13" s="87"/>
      <c r="AD13" s="91"/>
      <c r="AE13" s="87"/>
      <c r="AF13" s="87"/>
      <c r="AG13" s="87"/>
      <c r="AH13" s="87"/>
      <c r="AI13" s="87"/>
      <c r="AJ13" s="87"/>
      <c r="AK13" s="87"/>
    </row>
    <row r="14" spans="1:37" s="2" customFormat="1">
      <c r="A14" s="2" t="str">
        <f ca="1">"In addition to their base rate of pay, employees shall be paid "&amp;TEXT(U14,"$0.000")&amp;" per hour for all hours worked on any shift that begins"</f>
        <v>In addition to their base rate of pay, employees shall be paid $1.383 per hour for all hours worked on any shift that begins</v>
      </c>
      <c r="I14" s="36"/>
      <c r="P14" s="7"/>
      <c r="R14" s="51" t="s">
        <v>81</v>
      </c>
      <c r="S14" s="60" t="s">
        <v>84</v>
      </c>
      <c r="T14" s="60" t="s">
        <v>85</v>
      </c>
      <c r="U14" s="57" cm="1">
        <f t="array" aca="1" ref="U14" ca="1">ROUND(IF($R14="Y",VLOOKUP($S14,INDIRECT($S$2),U$5,0)*INDIRECT($R$1),VLOOKUP($S14,INDIRECT($S$2),U$5,0)),3)</f>
        <v>1.383</v>
      </c>
      <c r="V14" s="57"/>
      <c r="W14" s="57"/>
      <c r="X14" s="57"/>
      <c r="Y14" s="57"/>
      <c r="Z14" s="57"/>
      <c r="AA14" s="57"/>
      <c r="AB14" s="87" t="str">
        <f t="shared" ref="AB14:AD14" si="3">S14</f>
        <v>CMNNIT</v>
      </c>
      <c r="AC14" s="87" t="str">
        <f t="shared" si="3"/>
        <v>TL-Night Shift Premium-CMN</v>
      </c>
      <c r="AD14" s="91">
        <f t="shared" ca="1" si="3"/>
        <v>1.383</v>
      </c>
      <c r="AE14" s="87"/>
      <c r="AF14" s="87"/>
      <c r="AG14" s="87"/>
      <c r="AH14" s="87"/>
      <c r="AI14" s="87"/>
      <c r="AJ14" s="87"/>
      <c r="AK14" s="87"/>
    </row>
    <row r="15" spans="1:37" s="2" customFormat="1">
      <c r="A15" s="2" t="s">
        <v>95</v>
      </c>
      <c r="B15" s="4"/>
      <c r="C15" s="4"/>
      <c r="E15" s="4"/>
      <c r="F15" s="4"/>
      <c r="G15" s="4"/>
      <c r="H15" s="4"/>
      <c r="I15" s="4"/>
      <c r="J15" s="4"/>
      <c r="K15" s="4"/>
      <c r="L15" s="4"/>
      <c r="P15" s="7"/>
      <c r="R15" s="51"/>
      <c r="S15" s="51"/>
      <c r="T15" s="51"/>
      <c r="U15" s="57"/>
      <c r="V15" s="57"/>
      <c r="W15" s="57"/>
      <c r="X15" s="57"/>
      <c r="Y15" s="57"/>
      <c r="Z15" s="57"/>
      <c r="AA15" s="57"/>
      <c r="AB15" s="87"/>
      <c r="AC15" s="87"/>
      <c r="AD15" s="87"/>
      <c r="AE15" s="87"/>
      <c r="AF15" s="87"/>
      <c r="AG15" s="87"/>
      <c r="AH15" s="87"/>
      <c r="AI15" s="87"/>
      <c r="AJ15" s="87"/>
      <c r="AK15" s="87"/>
    </row>
    <row r="16" spans="1:37" s="2" customFormat="1">
      <c r="B16" s="4"/>
      <c r="C16" s="4"/>
      <c r="E16" s="4"/>
      <c r="F16" s="4"/>
      <c r="G16" s="4"/>
      <c r="H16" s="4"/>
      <c r="I16" s="4"/>
      <c r="J16" s="4"/>
      <c r="K16" s="4"/>
      <c r="L16" s="4"/>
      <c r="P16" s="7"/>
      <c r="R16" s="51"/>
      <c r="S16" s="70" t="s">
        <v>145</v>
      </c>
      <c r="T16" s="51"/>
      <c r="U16" s="51"/>
      <c r="V16" s="51"/>
      <c r="W16" s="57"/>
      <c r="X16" s="57"/>
      <c r="Y16" s="57"/>
      <c r="Z16" s="57"/>
      <c r="AA16" s="57"/>
      <c r="AB16" s="100" t="s">
        <v>145</v>
      </c>
      <c r="AC16" s="101"/>
      <c r="AD16" s="101"/>
      <c r="AE16" s="87"/>
      <c r="AF16" s="87"/>
      <c r="AG16" s="87"/>
      <c r="AH16" s="87"/>
      <c r="AI16" s="87"/>
      <c r="AJ16" s="87"/>
      <c r="AK16" s="87"/>
    </row>
    <row r="17" spans="1:37" s="2" customFormat="1">
      <c r="A17" s="2" t="s">
        <v>24</v>
      </c>
      <c r="P17" s="7"/>
      <c r="R17" s="51" t="s">
        <v>81</v>
      </c>
      <c r="S17" s="51" t="s">
        <v>137</v>
      </c>
      <c r="T17" s="99" t="s">
        <v>147</v>
      </c>
      <c r="U17" s="57" cm="1">
        <f t="array" aca="1" ref="U17" ca="1">ROUND(IF($R17="Y",VLOOKUP($S17,INDIRECT($S$2),U$5,0)*INDIRECT($R$1),VLOOKUP($S17,INDIRECT($S$2),U$5,0)),3)</f>
        <v>1.383</v>
      </c>
      <c r="V17" s="51"/>
      <c r="W17" s="99"/>
      <c r="X17" s="57"/>
      <c r="Y17" s="57"/>
      <c r="Z17" s="57"/>
      <c r="AA17" s="57"/>
      <c r="AB17" s="101" t="str">
        <f>S17</f>
        <v>NBF</v>
      </c>
      <c r="AC17" s="102" t="str">
        <f>T17</f>
        <v>Higher shift rate</v>
      </c>
      <c r="AD17" s="103">
        <f ca="1">U17</f>
        <v>1.383</v>
      </c>
      <c r="AE17" s="87"/>
      <c r="AF17" s="87"/>
      <c r="AG17" s="87"/>
      <c r="AH17" s="87"/>
      <c r="AI17" s="87"/>
      <c r="AJ17" s="87"/>
      <c r="AK17" s="87"/>
    </row>
    <row r="18" spans="1:37" s="2" customFormat="1">
      <c r="A18" s="2" t="s">
        <v>25</v>
      </c>
      <c r="P18" s="7"/>
      <c r="R18" s="51" t="s">
        <v>81</v>
      </c>
      <c r="S18" s="51" t="s">
        <v>138</v>
      </c>
      <c r="T18" s="51" t="s">
        <v>148</v>
      </c>
      <c r="U18" s="57" cm="1">
        <f t="array" aca="1" ref="U18" ca="1">ROUND(IF($R18="Y",VLOOKUP($S18,INDIRECT($S$2),U$5,0)*INDIRECT($R$1),VLOOKUP($S18,INDIRECT($S$2),U$5,0)),3)</f>
        <v>2.0739999999999998</v>
      </c>
      <c r="V18" s="51"/>
      <c r="W18" s="51"/>
      <c r="X18" s="57"/>
      <c r="Y18" s="57"/>
      <c r="Z18" s="57"/>
      <c r="AA18" s="57"/>
      <c r="AB18" s="101" t="str">
        <f t="shared" ref="AB18:AD22" si="4">S18</f>
        <v>NBT</v>
      </c>
      <c r="AC18" s="102" t="str">
        <f t="shared" si="4"/>
        <v>Higher shift rate x 1.5</v>
      </c>
      <c r="AD18" s="103">
        <f t="shared" ca="1" si="4"/>
        <v>2.0739999999999998</v>
      </c>
      <c r="AE18" s="87"/>
      <c r="AF18" s="87"/>
      <c r="AG18" s="87"/>
      <c r="AH18" s="87"/>
      <c r="AI18" s="87"/>
      <c r="AJ18" s="87"/>
      <c r="AK18" s="87"/>
    </row>
    <row r="19" spans="1:37" s="2" customFormat="1">
      <c r="A19" s="2" t="s">
        <v>26</v>
      </c>
      <c r="P19" s="7"/>
      <c r="R19" s="51" t="s">
        <v>81</v>
      </c>
      <c r="S19" s="51" t="s">
        <v>139</v>
      </c>
      <c r="T19" s="51" t="s">
        <v>146</v>
      </c>
      <c r="U19" s="57" cm="1">
        <f t="array" aca="1" ref="U19" ca="1">ROUND(IF($R19="Y",VLOOKUP($S19,INDIRECT($S$2),U$5,0)*INDIRECT($R$1),VLOOKUP($S19,INDIRECT($S$2),U$5,0)),3)</f>
        <v>2.7650000000000001</v>
      </c>
      <c r="V19" s="51"/>
      <c r="W19" s="51"/>
      <c r="X19" s="57"/>
      <c r="Y19" s="57"/>
      <c r="Z19" s="57"/>
      <c r="AA19" s="57"/>
      <c r="AB19" s="101" t="str">
        <f t="shared" si="4"/>
        <v>NBG</v>
      </c>
      <c r="AC19" s="102" t="str">
        <f t="shared" si="4"/>
        <v>Higher shift rate x 2.0</v>
      </c>
      <c r="AD19" s="103">
        <f t="shared" ca="1" si="4"/>
        <v>2.7650000000000001</v>
      </c>
      <c r="AE19" s="87"/>
      <c r="AF19" s="87"/>
      <c r="AG19" s="87"/>
      <c r="AH19" s="87"/>
      <c r="AI19" s="87"/>
      <c r="AJ19" s="87"/>
      <c r="AK19" s="87"/>
    </row>
    <row r="20" spans="1:37" s="2" customFormat="1">
      <c r="A20" s="7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51" t="s">
        <v>81</v>
      </c>
      <c r="S20" s="51" t="s">
        <v>134</v>
      </c>
      <c r="T20" s="51" t="s">
        <v>149</v>
      </c>
      <c r="U20" s="57" cm="1">
        <f t="array" aca="1" ref="U20" ca="1">ROUND(IF($R20="Y",VLOOKUP($S20,INDIRECT($S$2),U$5,0)*INDIRECT($R$1),VLOOKUP($S20,INDIRECT($S$2),U$5,0)),3)</f>
        <v>0.58199999999999996</v>
      </c>
      <c r="V20" s="51"/>
      <c r="W20" s="51"/>
      <c r="X20" s="57"/>
      <c r="Y20" s="57"/>
      <c r="Z20" s="57"/>
      <c r="AA20" s="57"/>
      <c r="AB20" s="101" t="str">
        <f t="shared" si="4"/>
        <v>NFF</v>
      </c>
      <c r="AC20" s="102" t="str">
        <f t="shared" si="4"/>
        <v>Lower shift rate</v>
      </c>
      <c r="AD20" s="103">
        <f t="shared" ca="1" si="4"/>
        <v>0.58199999999999996</v>
      </c>
      <c r="AE20" s="87"/>
      <c r="AF20" s="87"/>
      <c r="AG20" s="87"/>
      <c r="AH20" s="87"/>
      <c r="AI20" s="87"/>
      <c r="AJ20" s="87"/>
      <c r="AK20" s="87"/>
    </row>
    <row r="21" spans="1:37" s="2" customFormat="1">
      <c r="A21" s="7"/>
      <c r="B21" s="1"/>
      <c r="C21" s="1"/>
      <c r="D21" s="7"/>
      <c r="E21" s="1"/>
      <c r="F21" s="1"/>
      <c r="G21" s="1"/>
      <c r="H21" s="1"/>
      <c r="I21" s="1"/>
      <c r="J21" s="1"/>
      <c r="K21" s="1"/>
      <c r="L21" s="1"/>
      <c r="M21" s="7"/>
      <c r="N21" s="7"/>
      <c r="O21" s="7"/>
      <c r="P21" s="7"/>
      <c r="R21" s="51" t="s">
        <v>81</v>
      </c>
      <c r="S21" s="51" t="s">
        <v>135</v>
      </c>
      <c r="T21" s="51" t="s">
        <v>150</v>
      </c>
      <c r="U21" s="57" cm="1">
        <f t="array" aca="1" ref="U21" ca="1">ROUND(IF($R21="Y",VLOOKUP($S21,INDIRECT($S$2),U$5,0)*INDIRECT($R$1),VLOOKUP($S21,INDIRECT($S$2),U$5,0)),3)</f>
        <v>0.873</v>
      </c>
      <c r="V21" s="51"/>
      <c r="W21" s="51"/>
      <c r="X21" s="57"/>
      <c r="Y21" s="57"/>
      <c r="Z21" s="57"/>
      <c r="AA21" s="57"/>
      <c r="AB21" s="101" t="str">
        <f t="shared" si="4"/>
        <v>NFT</v>
      </c>
      <c r="AC21" s="102" t="str">
        <f t="shared" si="4"/>
        <v>Lower shift rate x 1.5</v>
      </c>
      <c r="AD21" s="103">
        <f t="shared" ca="1" si="4"/>
        <v>0.873</v>
      </c>
      <c r="AE21" s="87"/>
      <c r="AF21" s="87"/>
      <c r="AG21" s="87"/>
      <c r="AH21" s="87"/>
      <c r="AI21" s="87"/>
      <c r="AJ21" s="87"/>
      <c r="AK21" s="87"/>
    </row>
    <row r="22" spans="1:37" s="2" customFormat="1">
      <c r="A22" s="7" t="s">
        <v>59</v>
      </c>
      <c r="B22" s="1"/>
      <c r="C22" s="1"/>
      <c r="D22" s="7"/>
      <c r="E22" s="1"/>
      <c r="F22" s="1"/>
      <c r="G22" s="1"/>
      <c r="H22" s="1"/>
      <c r="I22" s="1"/>
      <c r="J22" s="1"/>
      <c r="K22" s="1"/>
      <c r="L22" s="1"/>
      <c r="M22" s="7"/>
      <c r="N22" s="7"/>
      <c r="O22" s="7"/>
      <c r="P22" s="7"/>
      <c r="R22" s="51" t="s">
        <v>81</v>
      </c>
      <c r="S22" s="51" t="s">
        <v>136</v>
      </c>
      <c r="T22" s="51" t="s">
        <v>151</v>
      </c>
      <c r="U22" s="57" cm="1">
        <f t="array" aca="1" ref="U22" ca="1">ROUND(IF($R22="Y",VLOOKUP($S22,INDIRECT($S$2),U$5,0)*INDIRECT($R$1),VLOOKUP($S22,INDIRECT($S$2),U$5,0)),3)</f>
        <v>1.163</v>
      </c>
      <c r="V22" s="51"/>
      <c r="W22" s="51"/>
      <c r="X22" s="57"/>
      <c r="Y22" s="57"/>
      <c r="Z22" s="57"/>
      <c r="AA22" s="57"/>
      <c r="AB22" s="101" t="str">
        <f t="shared" si="4"/>
        <v>NFG</v>
      </c>
      <c r="AC22" s="102" t="str">
        <f t="shared" si="4"/>
        <v>Lower shift rate x 2.0</v>
      </c>
      <c r="AD22" s="103">
        <f t="shared" ca="1" si="4"/>
        <v>1.163</v>
      </c>
      <c r="AE22" s="87"/>
      <c r="AF22" s="87"/>
      <c r="AG22" s="87"/>
      <c r="AH22" s="87"/>
      <c r="AI22" s="87"/>
      <c r="AJ22" s="87"/>
      <c r="AK22" s="87"/>
    </row>
    <row r="23" spans="1:37" s="2" customFormat="1">
      <c r="B23" s="1"/>
      <c r="C23" s="1"/>
      <c r="D23" s="7"/>
      <c r="E23" s="1"/>
      <c r="F23" s="1"/>
      <c r="G23" s="1"/>
      <c r="H23" s="1"/>
      <c r="I23" s="1"/>
      <c r="J23" s="1"/>
      <c r="K23" s="1"/>
      <c r="L23" s="1"/>
      <c r="M23" s="7"/>
      <c r="N23" s="7"/>
      <c r="O23" s="7"/>
      <c r="P23" s="7"/>
      <c r="R23" s="51"/>
      <c r="S23" s="51"/>
      <c r="T23" s="51"/>
      <c r="U23" s="57"/>
      <c r="V23" s="57"/>
      <c r="W23" s="57"/>
      <c r="X23" s="57"/>
      <c r="Y23" s="57"/>
      <c r="Z23" s="57"/>
      <c r="AA23" s="57"/>
      <c r="AB23" s="87"/>
      <c r="AC23" s="87"/>
      <c r="AD23" s="87"/>
      <c r="AE23" s="87"/>
      <c r="AF23" s="87"/>
      <c r="AG23" s="87"/>
      <c r="AH23" s="87"/>
      <c r="AI23" s="87"/>
      <c r="AJ23" s="87"/>
      <c r="AK23" s="87"/>
    </row>
    <row r="24" spans="1:37" s="2" customFormat="1">
      <c r="A24" s="7" t="s">
        <v>54</v>
      </c>
      <c r="B24" s="1"/>
      <c r="C24" s="1"/>
      <c r="D24" s="7"/>
      <c r="E24" s="1"/>
      <c r="F24" s="1"/>
      <c r="G24" s="1"/>
      <c r="H24" s="1"/>
      <c r="I24" s="1"/>
      <c r="J24" s="1"/>
      <c r="K24" s="1"/>
      <c r="L24" s="1"/>
      <c r="M24" s="7"/>
      <c r="N24" s="7"/>
      <c r="O24" s="7"/>
      <c r="P24" s="7"/>
      <c r="R24" s="51"/>
      <c r="S24" s="51"/>
      <c r="T24" s="51"/>
      <c r="U24" s="57"/>
      <c r="V24" s="57"/>
      <c r="W24" s="57"/>
      <c r="X24" s="57"/>
      <c r="Y24" s="57"/>
      <c r="Z24" s="57"/>
      <c r="AA24" s="57"/>
      <c r="AB24" s="87"/>
      <c r="AC24" s="87"/>
      <c r="AD24" s="87"/>
      <c r="AE24" s="87"/>
      <c r="AF24" s="87"/>
      <c r="AG24" s="87"/>
      <c r="AH24" s="87"/>
      <c r="AI24" s="87"/>
      <c r="AJ24" s="87"/>
      <c r="AK24" s="87"/>
    </row>
    <row r="25" spans="1:37" s="2" customFormat="1">
      <c r="A25" s="7"/>
      <c r="B25" s="1"/>
      <c r="C25" s="1"/>
      <c r="D25" s="7"/>
      <c r="E25" s="1"/>
      <c r="F25" s="1"/>
      <c r="G25" s="1"/>
      <c r="H25" s="1"/>
      <c r="I25" s="1"/>
      <c r="J25" s="1"/>
      <c r="K25" s="1"/>
      <c r="L25" s="1"/>
      <c r="M25" s="7"/>
      <c r="N25" s="7"/>
      <c r="O25" s="7"/>
      <c r="P25" s="7"/>
      <c r="R25" s="51"/>
      <c r="S25" s="51"/>
      <c r="T25" s="51"/>
      <c r="U25" s="57"/>
      <c r="V25" s="57"/>
      <c r="W25" s="57"/>
      <c r="X25" s="57"/>
      <c r="Y25" s="57"/>
      <c r="Z25" s="57"/>
      <c r="AA25" s="5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1:37" s="2" customFormat="1">
      <c r="A26" s="86" t="s">
        <v>28</v>
      </c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7"/>
      <c r="N26" s="7"/>
      <c r="O26" s="7"/>
      <c r="P26" s="7"/>
      <c r="R26" s="51"/>
      <c r="S26" s="51"/>
      <c r="T26" s="51"/>
      <c r="U26" s="57"/>
      <c r="V26" s="57"/>
      <c r="W26" s="57"/>
      <c r="X26" s="57"/>
      <c r="Y26" s="57"/>
      <c r="Z26" s="57"/>
      <c r="AA26" s="57"/>
      <c r="AB26" s="87"/>
      <c r="AC26" s="87"/>
      <c r="AD26" s="87"/>
      <c r="AE26" s="87"/>
      <c r="AF26" s="87"/>
      <c r="AG26" s="87"/>
      <c r="AH26" s="87"/>
      <c r="AI26" s="87"/>
      <c r="AJ26" s="87"/>
      <c r="AK26" s="87"/>
    </row>
    <row r="27" spans="1:37" s="2" customFormat="1">
      <c r="A27" s="2" t="s">
        <v>29</v>
      </c>
      <c r="J27" s="4"/>
      <c r="K27" s="4"/>
      <c r="L27" s="4"/>
      <c r="P27" s="7"/>
      <c r="R27" s="51"/>
      <c r="S27" s="70" t="s">
        <v>93</v>
      </c>
      <c r="T27" s="51"/>
      <c r="U27" s="57"/>
      <c r="V27" s="57"/>
      <c r="W27" s="57"/>
      <c r="X27" s="57"/>
      <c r="Y27" s="57"/>
      <c r="Z27" s="57"/>
      <c r="AA27" s="57"/>
      <c r="AB27" s="93" t="s">
        <v>93</v>
      </c>
      <c r="AC27" s="87"/>
      <c r="AD27" s="87"/>
      <c r="AE27" s="87"/>
      <c r="AF27" s="87"/>
      <c r="AG27" s="87"/>
      <c r="AH27" s="87"/>
      <c r="AI27" s="87"/>
      <c r="AJ27" s="87"/>
      <c r="AK27" s="87"/>
    </row>
    <row r="28" spans="1:37" s="2" customFormat="1">
      <c r="A28" s="24">
        <f ca="1">U28</f>
        <v>0.47199999999999998</v>
      </c>
      <c r="B28" s="2" t="s">
        <v>30</v>
      </c>
      <c r="J28" s="4"/>
      <c r="K28" s="4"/>
      <c r="L28" s="4"/>
      <c r="P28" s="7"/>
      <c r="R28" s="51" t="s">
        <v>81</v>
      </c>
      <c r="S28" s="51" t="s">
        <v>86</v>
      </c>
      <c r="T28" s="51"/>
      <c r="U28" s="57" cm="1">
        <f t="array" aca="1" ref="U28" ca="1">ROUND(IF($R28="Y",VLOOKUP($S28,INDIRECT($S$2),U$5,0)*INDIRECT($R$1),VLOOKUP($S28,INDIRECT($S$2),U$5,0)),3)</f>
        <v>0.47199999999999998</v>
      </c>
      <c r="V28" s="57"/>
      <c r="W28" s="57"/>
      <c r="X28" s="57"/>
      <c r="Y28" s="57"/>
      <c r="Z28" s="57"/>
      <c r="AA28" s="57"/>
      <c r="AB28" s="87" t="str">
        <f>S28</f>
        <v>10th Year</v>
      </c>
      <c r="AC28" s="87"/>
      <c r="AD28" s="91">
        <f ca="1">U28</f>
        <v>0.47199999999999998</v>
      </c>
      <c r="AE28" s="87"/>
      <c r="AF28" s="87"/>
      <c r="AG28" s="87"/>
      <c r="AH28" s="87"/>
      <c r="AI28" s="87"/>
      <c r="AJ28" s="87"/>
      <c r="AK28" s="87"/>
    </row>
    <row r="29" spans="1:37" s="2" customFormat="1">
      <c r="A29" s="24">
        <f ca="1">U29</f>
        <v>0.60799999999999998</v>
      </c>
      <c r="B29" s="2" t="s">
        <v>31</v>
      </c>
      <c r="J29" s="4"/>
      <c r="K29" s="4"/>
      <c r="L29" s="4"/>
      <c r="P29" s="7"/>
      <c r="R29" s="51" t="s">
        <v>81</v>
      </c>
      <c r="S29" s="51" t="s">
        <v>87</v>
      </c>
      <c r="T29" s="51"/>
      <c r="U29" s="57" cm="1">
        <f t="array" aca="1" ref="U29" ca="1">ROUND(IF($R29="Y",VLOOKUP($S29,INDIRECT($S$2),U$5,0)*INDIRECT($R$1),VLOOKUP($S29,INDIRECT($S$2),U$5,0)),3)</f>
        <v>0.60799999999999998</v>
      </c>
      <c r="V29" s="57"/>
      <c r="W29" s="57"/>
      <c r="X29" s="57"/>
      <c r="Y29" s="57"/>
      <c r="Z29" s="57"/>
      <c r="AA29" s="57"/>
      <c r="AB29" s="87" t="str">
        <f t="shared" ref="AB29:AB31" si="5">S29</f>
        <v>15th Year</v>
      </c>
      <c r="AC29" s="87"/>
      <c r="AD29" s="91">
        <f t="shared" ref="AD29:AD31" ca="1" si="6">U29</f>
        <v>0.60799999999999998</v>
      </c>
      <c r="AE29" s="87"/>
      <c r="AF29" s="87"/>
      <c r="AG29" s="87"/>
      <c r="AH29" s="87"/>
      <c r="AI29" s="87"/>
      <c r="AJ29" s="87"/>
      <c r="AK29" s="87"/>
    </row>
    <row r="30" spans="1:37" s="2" customFormat="1">
      <c r="A30" s="24">
        <f ca="1">U30</f>
        <v>0.745</v>
      </c>
      <c r="B30" s="2" t="s">
        <v>32</v>
      </c>
      <c r="J30" s="4"/>
      <c r="K30" s="4"/>
      <c r="L30" s="4"/>
      <c r="P30" s="7"/>
      <c r="R30" s="51" t="s">
        <v>81</v>
      </c>
      <c r="S30" s="51" t="s">
        <v>88</v>
      </c>
      <c r="T30" s="51"/>
      <c r="U30" s="57" cm="1">
        <f t="array" aca="1" ref="U30" ca="1">ROUND(IF($R30="Y",VLOOKUP($S30,INDIRECT($S$2),U$5,0)*INDIRECT($R$1),VLOOKUP($S30,INDIRECT($S$2),U$5,0)),3)</f>
        <v>0.745</v>
      </c>
      <c r="V30" s="57"/>
      <c r="W30" s="57"/>
      <c r="X30" s="57"/>
      <c r="Y30" s="57"/>
      <c r="Z30" s="57"/>
      <c r="AA30" s="57"/>
      <c r="AB30" s="87" t="str">
        <f t="shared" si="5"/>
        <v>20th Year</v>
      </c>
      <c r="AC30" s="87"/>
      <c r="AD30" s="91">
        <f t="shared" ca="1" si="6"/>
        <v>0.745</v>
      </c>
      <c r="AE30" s="87"/>
      <c r="AF30" s="87"/>
      <c r="AG30" s="87"/>
      <c r="AH30" s="87"/>
      <c r="AI30" s="87"/>
      <c r="AJ30" s="87"/>
      <c r="AK30" s="87"/>
    </row>
    <row r="31" spans="1:37" s="2" customFormat="1">
      <c r="A31" s="24">
        <f ca="1">U31</f>
        <v>0.88200000000000001</v>
      </c>
      <c r="B31" s="2" t="s">
        <v>33</v>
      </c>
      <c r="J31" s="4"/>
      <c r="K31" s="4"/>
      <c r="L31" s="4"/>
      <c r="P31" s="7"/>
      <c r="R31" s="51" t="s">
        <v>81</v>
      </c>
      <c r="S31" s="51" t="s">
        <v>89</v>
      </c>
      <c r="T31" s="51"/>
      <c r="U31" s="57" cm="1">
        <f t="array" aca="1" ref="U31" ca="1">ROUND(IF($R31="Y",VLOOKUP($S31,INDIRECT($S$2),U$5,0)*INDIRECT($R$1),VLOOKUP($S31,INDIRECT($S$2),U$5,0)),3)</f>
        <v>0.88200000000000001</v>
      </c>
      <c r="V31" s="57"/>
      <c r="W31" s="57"/>
      <c r="X31" s="57"/>
      <c r="Y31" s="57"/>
      <c r="Z31" s="57"/>
      <c r="AA31" s="57"/>
      <c r="AB31" s="87" t="str">
        <f t="shared" si="5"/>
        <v>25th Year</v>
      </c>
      <c r="AC31" s="87"/>
      <c r="AD31" s="91">
        <f t="shared" ca="1" si="6"/>
        <v>0.88200000000000001</v>
      </c>
      <c r="AE31" s="87"/>
      <c r="AF31" s="87"/>
      <c r="AG31" s="87"/>
      <c r="AH31" s="87"/>
      <c r="AI31" s="87"/>
      <c r="AJ31" s="87"/>
      <c r="AK31" s="87"/>
    </row>
    <row r="32" spans="1:37" s="2" customFormat="1">
      <c r="A32" s="1"/>
      <c r="B32" s="1"/>
      <c r="C32" s="1"/>
      <c r="D32" s="7"/>
      <c r="E32" s="1"/>
      <c r="F32" s="1"/>
      <c r="G32" s="1"/>
      <c r="H32" s="1"/>
      <c r="I32" s="1"/>
      <c r="J32" s="1"/>
      <c r="K32" s="1"/>
      <c r="L32" s="1"/>
      <c r="M32" s="7"/>
      <c r="N32" s="7"/>
      <c r="O32" s="1"/>
      <c r="P32" s="1"/>
      <c r="R32" s="51"/>
      <c r="S32" s="51"/>
      <c r="T32" s="51"/>
      <c r="U32" s="57"/>
      <c r="V32" s="57"/>
      <c r="W32" s="57"/>
      <c r="X32" s="57"/>
      <c r="Y32" s="57"/>
      <c r="Z32" s="57"/>
      <c r="AA32" s="57"/>
      <c r="AB32" s="87"/>
      <c r="AC32" s="87"/>
      <c r="AD32" s="87"/>
      <c r="AE32" s="87"/>
      <c r="AF32" s="87"/>
      <c r="AG32" s="87"/>
      <c r="AH32" s="87"/>
      <c r="AI32" s="87"/>
      <c r="AJ32" s="87"/>
      <c r="AK32" s="87"/>
    </row>
    <row r="33" spans="1:37" s="26" customFormat="1">
      <c r="A33" s="25" t="s">
        <v>35</v>
      </c>
      <c r="E33" s="27"/>
      <c r="F33" s="27"/>
      <c r="G33" s="27"/>
      <c r="H33" s="32"/>
      <c r="I33" s="27"/>
      <c r="J33" s="27"/>
      <c r="K33" s="27"/>
      <c r="L33" s="27"/>
      <c r="M33" s="27"/>
      <c r="N33" s="27"/>
      <c r="O33" s="27"/>
      <c r="P33" s="28"/>
      <c r="R33" s="63"/>
      <c r="S33" s="63"/>
      <c r="T33" s="63"/>
      <c r="U33" s="64"/>
      <c r="V33" s="64"/>
      <c r="W33" s="64"/>
      <c r="X33" s="64"/>
      <c r="Y33" s="64"/>
      <c r="Z33" s="64"/>
      <c r="AA33" s="64"/>
      <c r="AB33" s="94"/>
      <c r="AC33" s="94"/>
      <c r="AD33" s="94"/>
      <c r="AE33" s="94"/>
      <c r="AF33" s="94"/>
      <c r="AG33" s="94"/>
      <c r="AH33" s="94"/>
      <c r="AI33" s="94"/>
      <c r="AJ33" s="94"/>
      <c r="AK33" s="94"/>
    </row>
    <row r="34" spans="1:37" s="2" customFormat="1">
      <c r="A34" s="37" t="s">
        <v>57</v>
      </c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28"/>
      <c r="R34" s="51"/>
      <c r="S34" s="51"/>
      <c r="T34" s="51"/>
      <c r="U34" s="57"/>
      <c r="V34" s="57"/>
      <c r="W34" s="57"/>
      <c r="X34" s="57"/>
      <c r="Y34" s="57"/>
      <c r="Z34" s="57"/>
      <c r="AA34" s="57"/>
      <c r="AB34" s="87"/>
      <c r="AC34" s="87"/>
      <c r="AD34" s="87"/>
      <c r="AE34" s="87"/>
      <c r="AF34" s="87"/>
      <c r="AG34" s="87"/>
      <c r="AH34" s="87"/>
      <c r="AI34" s="87"/>
      <c r="AJ34" s="87"/>
      <c r="AK34" s="87"/>
    </row>
    <row r="35" spans="1:37" s="2" customFormat="1">
      <c r="A35" s="2" t="str">
        <f>"Dispatcher's hourly top-step rate of pay. Coaching/Training Premium = "&amp;TEXT(U35,"$0.000")&amp;" per hour assigned and coaching/training."</f>
        <v>Dispatcher's hourly top-step rate of pay. Coaching/Training Premium = $8.422 per hour assigned and coaching/training.</v>
      </c>
      <c r="G35" s="4"/>
      <c r="J35" s="34"/>
      <c r="K35" s="3"/>
      <c r="M35" s="4"/>
      <c r="N35" s="4"/>
      <c r="O35" s="4"/>
      <c r="P35" s="1"/>
      <c r="R35" s="51" t="s">
        <v>81</v>
      </c>
      <c r="S35" s="51" t="s">
        <v>140</v>
      </c>
      <c r="T35" s="51" t="s">
        <v>35</v>
      </c>
      <c r="U35" s="57">
        <f>AA7*0.2</f>
        <v>8.4215999999999998</v>
      </c>
      <c r="V35" s="51"/>
      <c r="W35" s="68" t="s">
        <v>96</v>
      </c>
      <c r="X35" s="57"/>
      <c r="Y35" s="57"/>
      <c r="Z35" s="57"/>
      <c r="AA35" s="57"/>
      <c r="AB35" s="87" t="str">
        <f t="shared" ref="AB35:AD35" si="7">S35</f>
        <v>COA</v>
      </c>
      <c r="AC35" s="87" t="str">
        <f t="shared" si="7"/>
        <v>Coaching/Training Premium</v>
      </c>
      <c r="AD35" s="91">
        <f t="shared" si="7"/>
        <v>8.4215999999999998</v>
      </c>
      <c r="AE35" s="87"/>
      <c r="AF35" s="87"/>
      <c r="AG35" s="87"/>
      <c r="AH35" s="87"/>
      <c r="AI35" s="87"/>
      <c r="AJ35" s="87"/>
      <c r="AK35" s="87"/>
    </row>
    <row r="36" spans="1:37" s="2" customFormat="1">
      <c r="A36" s="3"/>
      <c r="E36" s="4"/>
      <c r="F36" s="4"/>
      <c r="G36" s="4"/>
      <c r="H36" s="4"/>
      <c r="J36" s="32"/>
      <c r="K36" s="3"/>
      <c r="L36" s="4"/>
      <c r="M36" s="4"/>
      <c r="N36" s="4"/>
      <c r="O36" s="4"/>
      <c r="P36" s="1"/>
      <c r="R36" s="51"/>
      <c r="S36" s="51"/>
      <c r="T36" s="51"/>
      <c r="U36" s="57"/>
      <c r="V36" s="57"/>
      <c r="W36" s="57"/>
      <c r="X36" s="57"/>
      <c r="Y36" s="57"/>
      <c r="Z36" s="57"/>
      <c r="AA36" s="57"/>
      <c r="AB36" s="87"/>
      <c r="AC36" s="87"/>
      <c r="AD36" s="87"/>
      <c r="AE36" s="87"/>
      <c r="AF36" s="87"/>
      <c r="AG36" s="87"/>
      <c r="AH36" s="87"/>
      <c r="AI36" s="87"/>
      <c r="AJ36" s="87"/>
      <c r="AK36" s="87"/>
    </row>
    <row r="37" spans="1:37" s="2" customFormat="1">
      <c r="A37" s="25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  <c r="R37" s="51"/>
      <c r="S37" s="51"/>
      <c r="T37" s="51"/>
      <c r="U37" s="57"/>
      <c r="V37" s="57"/>
      <c r="W37" s="57"/>
      <c r="X37" s="57"/>
      <c r="Y37" s="57"/>
      <c r="Z37" s="57"/>
      <c r="AA37" s="57"/>
      <c r="AB37" s="87"/>
      <c r="AC37" s="87"/>
      <c r="AD37" s="87"/>
      <c r="AE37" s="87"/>
      <c r="AF37" s="87"/>
      <c r="AG37" s="87"/>
      <c r="AH37" s="87"/>
      <c r="AI37" s="87"/>
      <c r="AJ37" s="87"/>
      <c r="AK37" s="87"/>
    </row>
    <row r="38" spans="1:37" s="2" customFormat="1">
      <c r="A38" s="40" t="s">
        <v>62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  <c r="R38" s="51"/>
      <c r="S38" s="51"/>
      <c r="T38" s="51"/>
      <c r="U38" s="57"/>
      <c r="V38" s="57"/>
      <c r="W38" s="57"/>
      <c r="X38" s="57"/>
      <c r="Y38" s="57"/>
      <c r="Z38" s="57"/>
      <c r="AA38" s="57"/>
      <c r="AB38" s="87"/>
      <c r="AC38" s="87"/>
      <c r="AD38" s="87"/>
      <c r="AE38" s="87"/>
      <c r="AF38" s="87"/>
      <c r="AG38" s="87"/>
      <c r="AH38" s="87"/>
      <c r="AI38" s="87"/>
      <c r="AJ38" s="87"/>
      <c r="AK38" s="87"/>
    </row>
    <row r="39" spans="1:37" s="2" customFormat="1">
      <c r="A39" s="2" t="s">
        <v>63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"/>
      <c r="R39" s="51"/>
      <c r="S39" s="51"/>
      <c r="T39" s="51"/>
      <c r="U39" s="57"/>
      <c r="V39" s="57"/>
      <c r="W39" s="57"/>
      <c r="X39" s="57"/>
      <c r="Y39" s="57"/>
      <c r="Z39" s="57"/>
      <c r="AA39" s="57"/>
      <c r="AB39" s="87"/>
      <c r="AC39" s="87"/>
      <c r="AD39" s="87"/>
      <c r="AE39" s="87"/>
      <c r="AF39" s="87"/>
      <c r="AG39" s="87"/>
      <c r="AH39" s="87"/>
      <c r="AI39" s="87"/>
      <c r="AJ39" s="87"/>
      <c r="AK39" s="87"/>
    </row>
    <row r="40" spans="1:37" s="2" customFormat="1">
      <c r="I40" s="73" t="s">
        <v>60</v>
      </c>
      <c r="J40" s="12" t="s">
        <v>71</v>
      </c>
      <c r="K40" s="12" t="s">
        <v>72</v>
      </c>
      <c r="L40" s="12" t="s">
        <v>73</v>
      </c>
      <c r="M40" s="12" t="s">
        <v>74</v>
      </c>
      <c r="N40" s="12" t="s">
        <v>75</v>
      </c>
      <c r="O40" s="12" t="s">
        <v>76</v>
      </c>
      <c r="P40" s="12" t="s">
        <v>77</v>
      </c>
      <c r="R40" s="51" t="s">
        <v>81</v>
      </c>
      <c r="S40" s="66"/>
      <c r="T40" s="66"/>
      <c r="U40" s="66"/>
      <c r="V40" s="61"/>
      <c r="W40" s="69" t="s">
        <v>98</v>
      </c>
      <c r="X40" s="66"/>
      <c r="Y40" s="66"/>
      <c r="Z40" s="51"/>
      <c r="AA40" s="51"/>
      <c r="AB40" s="87"/>
      <c r="AC40" s="87"/>
      <c r="AD40" s="87"/>
      <c r="AE40" s="87"/>
      <c r="AF40" s="87"/>
      <c r="AG40" s="87"/>
      <c r="AH40" s="87"/>
      <c r="AI40" s="87"/>
      <c r="AJ40" s="87"/>
      <c r="AK40" s="87"/>
    </row>
    <row r="41" spans="1:37">
      <c r="I41" s="74" t="s">
        <v>61</v>
      </c>
      <c r="J41" s="14">
        <f>ROUND(HLOOKUP(J40,$I$6:$O$7,2)*1.5,3)</f>
        <v>46.448999999999998</v>
      </c>
      <c r="K41" s="14">
        <f t="shared" ref="K41:P41" si="8">ROUND(HLOOKUP(K40,$I$6:$O$7,2)*1.5,3)</f>
        <v>48.875</v>
      </c>
      <c r="L41" s="14">
        <f t="shared" si="8"/>
        <v>51.438000000000002</v>
      </c>
      <c r="M41" s="14">
        <f t="shared" si="8"/>
        <v>54.140999999999998</v>
      </c>
      <c r="N41" s="14">
        <f t="shared" si="8"/>
        <v>57.008000000000003</v>
      </c>
      <c r="O41" s="14">
        <f t="shared" si="8"/>
        <v>60.014000000000003</v>
      </c>
      <c r="P41" s="14">
        <f t="shared" si="8"/>
        <v>63.161999999999999</v>
      </c>
      <c r="V41" s="67"/>
      <c r="W41" s="67"/>
      <c r="X41" s="67"/>
      <c r="Y41" s="67"/>
      <c r="AD41" s="91"/>
    </row>
    <row r="42" spans="1:37">
      <c r="AD42" s="91"/>
    </row>
    <row r="43" spans="1:37">
      <c r="AD43" s="91"/>
    </row>
    <row r="44" spans="1:37">
      <c r="AD44" s="91"/>
    </row>
    <row r="45" spans="1:37">
      <c r="AD45" s="91"/>
    </row>
    <row r="46" spans="1:37">
      <c r="AD46" s="91"/>
    </row>
  </sheetData>
  <mergeCells count="1">
    <mergeCell ref="A1:O1"/>
  </mergeCells>
  <pageMargins left="0.25" right="0.25" top="0.5" bottom="0.25" header="0.5" footer="0.5"/>
  <pageSetup scale="51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31</vt:i4>
      </vt:variant>
    </vt:vector>
  </HeadingPairs>
  <TitlesOfParts>
    <vt:vector size="48" baseType="lpstr">
      <vt:lpstr>1 1 2017</vt:lpstr>
      <vt:lpstr>7 1 2017</vt:lpstr>
      <vt:lpstr>1 1 2018</vt:lpstr>
      <vt:lpstr>7 1 2019</vt:lpstr>
      <vt:lpstr>1 1 2020</vt:lpstr>
      <vt:lpstr>1 1 2021</vt:lpstr>
      <vt:lpstr>1 1 2022</vt:lpstr>
      <vt:lpstr>9 25 2022</vt:lpstr>
      <vt:lpstr>10 10 2022</vt:lpstr>
      <vt:lpstr>1 1 2023</vt:lpstr>
      <vt:lpstr>4 1 2023</vt:lpstr>
      <vt:lpstr>1 1 2024</vt:lpstr>
      <vt:lpstr>4 1 2024</vt:lpstr>
      <vt:lpstr>1 1 2025</vt:lpstr>
      <vt:lpstr>1 1 2026</vt:lpstr>
      <vt:lpstr>1 1 2027</vt:lpstr>
      <vt:lpstr>Notes</vt:lpstr>
      <vt:lpstr>PercInc2019</vt:lpstr>
      <vt:lpstr>PercInc2020</vt:lpstr>
      <vt:lpstr>PercInc2021</vt:lpstr>
      <vt:lpstr>'10 10 2022'!PercInc2022</vt:lpstr>
      <vt:lpstr>'9 25 2022'!PercInc2022</vt:lpstr>
      <vt:lpstr>PercInc2022</vt:lpstr>
      <vt:lpstr>PercInc2023</vt:lpstr>
      <vt:lpstr>PercInc2024</vt:lpstr>
      <vt:lpstr>PercIncApril2023</vt:lpstr>
      <vt:lpstr>PercIncApril2024</vt:lpstr>
      <vt:lpstr>PercIncr2025</vt:lpstr>
      <vt:lpstr>PercIncr2026</vt:lpstr>
      <vt:lpstr>PercIncr2027</vt:lpstr>
      <vt:lpstr>'1 1 2017'!Print_Area</vt:lpstr>
      <vt:lpstr>'1 1 2018'!Print_Area</vt:lpstr>
      <vt:lpstr>'1 1 2020'!Print_Area</vt:lpstr>
      <vt:lpstr>'7 1 2017'!Print_Area</vt:lpstr>
      <vt:lpstr>'7 1 2019'!Print_Area</vt:lpstr>
      <vt:lpstr>Rates2019</vt:lpstr>
      <vt:lpstr>Rates2020</vt:lpstr>
      <vt:lpstr>Rates2020v2</vt:lpstr>
      <vt:lpstr>Rates2021</vt:lpstr>
      <vt:lpstr>Rates2022</vt:lpstr>
      <vt:lpstr>Rates2023</vt:lpstr>
      <vt:lpstr>Rates2024</vt:lpstr>
      <vt:lpstr>Rates2025</vt:lpstr>
      <vt:lpstr>Rates2026</vt:lpstr>
      <vt:lpstr>RatesApril2023</vt:lpstr>
      <vt:lpstr>RatesApril2024</vt:lpstr>
      <vt:lpstr>'10 10 2022'!RatesSept2022</vt:lpstr>
      <vt:lpstr>RatesSept2022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Nelms, Pam K.</dc:creator>
  <cp:lastModifiedBy>Miller, Brenda (she/her/hers)</cp:lastModifiedBy>
  <cp:lastPrinted>2021-04-12T17:22:37Z</cp:lastPrinted>
  <dcterms:created xsi:type="dcterms:W3CDTF">2017-09-29T19:48:20Z</dcterms:created>
  <dcterms:modified xsi:type="dcterms:W3CDTF">2025-02-13T18:57:28Z</dcterms:modified>
</cp:coreProperties>
</file>