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drawings/drawing12.xml" ContentType="application/vnd.openxmlformats-officedocument.drawing+xml"/>
  <Override PartName="/xl/comments12.xml" ContentType="application/vnd.openxmlformats-officedocument.spreadsheetml.comments+xml"/>
  <Override PartName="/xl/drawings/drawing13.xml" ContentType="application/vnd.openxmlformats-officedocument.drawing+xml"/>
  <Override PartName="/xl/comments13.xml" ContentType="application/vnd.openxmlformats-officedocument.spreadsheetml.comments+xml"/>
  <Override PartName="/xl/drawings/drawing14.xml" ContentType="application/vnd.openxmlformats-officedocument.drawing+xml"/>
  <Override PartName="/xl/comments14.xml" ContentType="application/vnd.openxmlformats-officedocument.spreadsheetml.comments+xml"/>
  <Override PartName="/xl/drawings/drawing15.xml" ContentType="application/vnd.openxmlformats-officedocument.drawing+xml"/>
  <Override PartName="/xl/comments15.xml" ContentType="application/vnd.openxmlformats-officedocument.spreadsheetml.comments+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M:\Human Resources\LABOR\1 (CEN) PWEA\Salary Schedules\"/>
    </mc:Choice>
  </mc:AlternateContent>
  <xr:revisionPtr revIDLastSave="0" documentId="8_{DB6DA694-51E8-46B4-902C-482A22AB339E}" xr6:coauthVersionLast="47" xr6:coauthVersionMax="47" xr10:uidLastSave="{00000000-0000-0000-0000-000000000000}"/>
  <workbookProtection lockStructure="1"/>
  <bookViews>
    <workbookView xWindow="-28920" yWindow="-3765" windowWidth="29040" windowHeight="15720" firstSheet="24" activeTab="24" xr2:uid="{00000000-000D-0000-FFFF-FFFF00000000}"/>
  </bookViews>
  <sheets>
    <sheet name="2006 Salary Schedule" sheetId="1" state="hidden" r:id="rId1"/>
    <sheet name="2007 Salary Schedule w form" sheetId="2" state="hidden" r:id="rId2"/>
    <sheet name="2007 Salary Schedule" sheetId="3" state="hidden" r:id="rId3"/>
    <sheet name="CEN" sheetId="4" state="hidden" r:id="rId4"/>
    <sheet name="Jan 1 &amp; April 1 2008" sheetId="5" state="hidden" r:id="rId5"/>
    <sheet name="Jan &amp; April 1 2009" sheetId="6" state="hidden" r:id="rId6"/>
    <sheet name="January &amp; April 1 2010" sheetId="7" state="hidden" r:id="rId7"/>
    <sheet name="January 1, 2011" sheetId="8" state="hidden" r:id="rId8"/>
    <sheet name="January 1, 2012" sheetId="9" state="hidden" r:id="rId9"/>
    <sheet name="1 1 2013 calc BASE Keep" sheetId="10" state="hidden" r:id="rId10"/>
    <sheet name="January 1, 2013 2.11" sheetId="11" state="hidden" r:id="rId11"/>
    <sheet name="January 1 2015" sheetId="12" state="hidden" r:id="rId12"/>
    <sheet name="March 1, 2015" sheetId="13" state="hidden" r:id="rId13"/>
    <sheet name="March 1, 2016" sheetId="14" state="hidden" r:id="rId14"/>
    <sheet name="January 1 2017" sheetId="15" state="hidden" r:id="rId15"/>
    <sheet name="March 1 2018" sheetId="22" state="hidden" r:id="rId16"/>
    <sheet name="January 1 2019" sheetId="16" state="hidden" r:id="rId17"/>
    <sheet name="March 1 2019" sheetId="17" state="hidden" r:id="rId18"/>
    <sheet name="Feb 1 2020" sheetId="18" state="hidden" r:id="rId19"/>
    <sheet name="Feb 1 2021" sheetId="20" state="hidden" r:id="rId20"/>
    <sheet name="1-1-2022" sheetId="23" state="hidden" r:id="rId21"/>
    <sheet name="1-1-2023" sheetId="27" state="hidden" r:id="rId22"/>
    <sheet name="1-1-2024" sheetId="28" state="hidden" r:id="rId23"/>
    <sheet name="1-1-2025" sheetId="29" state="hidden" r:id="rId24"/>
    <sheet name="1-1-2026" sheetId="30" r:id="rId25"/>
    <sheet name="1-1-2027" sheetId="31" r:id="rId26"/>
    <sheet name="1-1-2028" sheetId="34" r:id="rId27"/>
    <sheet name="Notes" sheetId="21" state="hidden" r:id="rId28"/>
  </sheets>
  <definedNames>
    <definedName name="_xlnm._FilterDatabase" localSheetId="24" hidden="1">'1-1-2026'!$A$9:$AI$21</definedName>
    <definedName name="_xlnm._FilterDatabase" localSheetId="14" hidden="1">'January 1 2017'!$A$8:$T$19</definedName>
    <definedName name="Data2025">'1-1-2025'!$P$9:$X$32</definedName>
    <definedName name="Data2026">'1-1-2026'!$P$9:$X$32</definedName>
    <definedName name="Data2027">'1-1-2027'!$P$9:$X$32</definedName>
    <definedName name="IncrPerc2020">'Feb 1 2020'!$O$1</definedName>
    <definedName name="IncrPerc2021">'Feb 1 2021'!$O$1</definedName>
    <definedName name="IncrPerc2022">'1-1-2022'!$Q$2</definedName>
    <definedName name="IncrPerc2023">'1-1-2023'!$Q$2</definedName>
    <definedName name="IncrPerc2024">'1-1-2024'!$Q$2</definedName>
    <definedName name="IncrPerc2025" localSheetId="24">'1-1-2026'!$Q$2</definedName>
    <definedName name="IncrPerc2025" localSheetId="25">'1-1-2027'!$Q$2</definedName>
    <definedName name="IncrPerc2025" localSheetId="26">'1-1-2028'!$Q$2</definedName>
    <definedName name="IncrPerc2025">'1-1-2025'!$Q$2</definedName>
    <definedName name="IncrPerc2026" localSheetId="25">'1-1-2027'!$Q$2</definedName>
    <definedName name="IncrPerc2026" localSheetId="26">'1-1-2028'!$Q$2</definedName>
    <definedName name="IncrPerc2026">'1-1-2026'!$Q$2</definedName>
    <definedName name="IncrPerc2027">'1-1-2027'!$Q$2</definedName>
    <definedName name="IncrPerc2028">'1-1-2028'!$Q$2</definedName>
    <definedName name="PayRates2021">'Feb 1 2021'!$Q$8:$Z$31</definedName>
    <definedName name="PayRates2022">'1-1-2022'!$P$9:$X$31</definedName>
    <definedName name="PayRates2023">'1-1-2023'!$P$9:$X$31</definedName>
    <definedName name="PayRates2024">'1-1-2024'!$P$9:$X$31</definedName>
    <definedName name="_xlnm.Print_Area" localSheetId="9">'1 1 2013 calc BASE Keep'!$A$1:$N$37</definedName>
    <definedName name="_xlnm.Print_Area" localSheetId="0">'2006 Salary Schedule'!$A$2:$O$38</definedName>
    <definedName name="_xlnm.Print_Area" localSheetId="2">'2007 Salary Schedule'!$A$1:$P$64</definedName>
    <definedName name="_xlnm.Print_Area" localSheetId="1">'2007 Salary Schedule w form'!$A$2:$O$48</definedName>
    <definedName name="_xlnm.Print_Area" localSheetId="5">'Jan &amp; April 1 2009'!$A$1:$P$39</definedName>
    <definedName name="_xlnm.Print_Area" localSheetId="4">'Jan 1 &amp; April 1 2008'!$A$1:$P$32</definedName>
    <definedName name="_xlnm.Print_Area" localSheetId="6">'January &amp; April 1 2010'!$A$1:$P$30</definedName>
    <definedName name="_xlnm.Print_Area" localSheetId="11">'January 1 2015'!$A$1:$M$35</definedName>
    <definedName name="_xlnm.Print_Area" localSheetId="14">'January 1 2017'!$A$1:$M$31</definedName>
    <definedName name="_xlnm.Print_Area" localSheetId="16">'January 1 2019'!$A$1:$M$31</definedName>
    <definedName name="_xlnm.Print_Area" localSheetId="7">'January 1, 2011'!$A$1:$O$35</definedName>
    <definedName name="_xlnm.Print_Area" localSheetId="8">'January 1, 2012'!$A$1:$N$37</definedName>
    <definedName name="_xlnm.Print_Area" localSheetId="10">'January 1, 2013 2.11'!$A$1:$N$37</definedName>
    <definedName name="_xlnm.Print_Area" localSheetId="15">'March 1 2018'!$A$1:$M$31</definedName>
    <definedName name="_xlnm.Print_Area" localSheetId="17">'March 1 2019'!$A$1:$M$31</definedName>
    <definedName name="_xlnm.Print_Area" localSheetId="12">'March 1, 2015'!$A$1:$M$34</definedName>
    <definedName name="_xlnm.Print_Area" localSheetId="13">'March 1, 2016'!$A$1:$M$34</definedName>
    <definedName name="Range2019">'March 1 2019'!$A$9:$M$18</definedName>
    <definedName name="Range2020">'Feb 1 2020'!$A$9:$M$18</definedName>
    <definedName name="Range2021" localSheetId="20">'1-1-2022'!$A$10:$M$20</definedName>
    <definedName name="Range2021">'Feb 1 2021'!$A$9:$M$19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1" i="34" l="1"/>
  <c r="Z32" i="34"/>
  <c r="Y32" i="34"/>
  <c r="Z31" i="34"/>
  <c r="Y31" i="34"/>
  <c r="Z30" i="34"/>
  <c r="Y30" i="34"/>
  <c r="Z29" i="34"/>
  <c r="Y29" i="34"/>
  <c r="Z25" i="34"/>
  <c r="Y25" i="34"/>
  <c r="Z24" i="34"/>
  <c r="Y24" i="34"/>
  <c r="Z21" i="34"/>
  <c r="Y21" i="34"/>
  <c r="R21" i="34"/>
  <c r="AB21" i="34" s="1"/>
  <c r="Q21" i="34"/>
  <c r="AA21" i="34" s="1"/>
  <c r="P21" i="34"/>
  <c r="Y20" i="34"/>
  <c r="R20" i="34"/>
  <c r="AB20" i="34" s="1"/>
  <c r="Q20" i="34"/>
  <c r="AA20" i="34" s="1"/>
  <c r="P20" i="34"/>
  <c r="Z20" i="34" s="1"/>
  <c r="AB19" i="34"/>
  <c r="AA19" i="34"/>
  <c r="Z19" i="34"/>
  <c r="Y19" i="34"/>
  <c r="R19" i="34"/>
  <c r="Q19" i="34"/>
  <c r="P19" i="34"/>
  <c r="Z18" i="34"/>
  <c r="Y18" i="34"/>
  <c r="R18" i="34"/>
  <c r="AB18" i="34" s="1"/>
  <c r="Q18" i="34"/>
  <c r="AA18" i="34" s="1"/>
  <c r="P18" i="34"/>
  <c r="Y17" i="34"/>
  <c r="R17" i="34"/>
  <c r="AB17" i="34" s="1"/>
  <c r="Q17" i="34"/>
  <c r="AA17" i="34" s="1"/>
  <c r="P17" i="34"/>
  <c r="Z17" i="34" s="1"/>
  <c r="AB16" i="34"/>
  <c r="AA16" i="34"/>
  <c r="Z16" i="34"/>
  <c r="Y16" i="34"/>
  <c r="R16" i="34"/>
  <c r="Q16" i="34"/>
  <c r="P16" i="34"/>
  <c r="Z15" i="34"/>
  <c r="Y15" i="34"/>
  <c r="R15" i="34"/>
  <c r="AB15" i="34" s="1"/>
  <c r="Q15" i="34"/>
  <c r="AA15" i="34" s="1"/>
  <c r="P15" i="34"/>
  <c r="Y14" i="34"/>
  <c r="R14" i="34"/>
  <c r="AB14" i="34" s="1"/>
  <c r="Q14" i="34"/>
  <c r="AA14" i="34" s="1"/>
  <c r="P14" i="34"/>
  <c r="Z14" i="34" s="1"/>
  <c r="AB13" i="34"/>
  <c r="AA13" i="34"/>
  <c r="Z13" i="34"/>
  <c r="Y13" i="34"/>
  <c r="R13" i="34"/>
  <c r="Q13" i="34"/>
  <c r="P13" i="34"/>
  <c r="Z12" i="34"/>
  <c r="Y12" i="34"/>
  <c r="R12" i="34"/>
  <c r="AB12" i="34" s="1"/>
  <c r="Q12" i="34"/>
  <c r="AA12" i="34" s="1"/>
  <c r="P12" i="34"/>
  <c r="Y11" i="34"/>
  <c r="R11" i="34"/>
  <c r="AB11" i="34" s="1"/>
  <c r="Q11" i="34"/>
  <c r="AA11" i="34" s="1"/>
  <c r="P11" i="34"/>
  <c r="Z11" i="34" s="1"/>
  <c r="AB10" i="34"/>
  <c r="AA10" i="34"/>
  <c r="Z10" i="34"/>
  <c r="Y10" i="34"/>
  <c r="R10" i="34"/>
  <c r="Q10" i="34"/>
  <c r="P10" i="34"/>
  <c r="A6" i="34"/>
  <c r="A41" i="31"/>
  <c r="Z32" i="31"/>
  <c r="Y32" i="31"/>
  <c r="Z31" i="31"/>
  <c r="Y31" i="31"/>
  <c r="Z30" i="31"/>
  <c r="Y30" i="31"/>
  <c r="Z29" i="31"/>
  <c r="Y29" i="31"/>
  <c r="Z25" i="31"/>
  <c r="Y25" i="31"/>
  <c r="Z24" i="31"/>
  <c r="Y24" i="31"/>
  <c r="Y21" i="31"/>
  <c r="R21" i="31"/>
  <c r="AB21" i="31" s="1"/>
  <c r="Q21" i="31"/>
  <c r="AA21" i="31" s="1"/>
  <c r="P21" i="31"/>
  <c r="Z21" i="31" s="1"/>
  <c r="AB20" i="31"/>
  <c r="Z20" i="31"/>
  <c r="Y20" i="31"/>
  <c r="R20" i="31"/>
  <c r="Q20" i="31"/>
  <c r="AA20" i="31" s="1"/>
  <c r="P20" i="31"/>
  <c r="AA19" i="31"/>
  <c r="Y19" i="31"/>
  <c r="R19" i="31"/>
  <c r="AB19" i="31" s="1"/>
  <c r="Q19" i="31"/>
  <c r="P19" i="31"/>
  <c r="AB18" i="31"/>
  <c r="Y18" i="31"/>
  <c r="R18" i="31"/>
  <c r="Q18" i="31"/>
  <c r="AA18" i="31" s="1"/>
  <c r="P18" i="31"/>
  <c r="Z18" i="31" s="1"/>
  <c r="AB17" i="31"/>
  <c r="Z17" i="31"/>
  <c r="Y17" i="31"/>
  <c r="R17" i="31"/>
  <c r="Q17" i="31"/>
  <c r="AA17" i="31" s="1"/>
  <c r="P17" i="31"/>
  <c r="AA16" i="31"/>
  <c r="Y16" i="31"/>
  <c r="R16" i="31"/>
  <c r="AB16" i="31" s="1"/>
  <c r="Q16" i="31"/>
  <c r="P16" i="31"/>
  <c r="AB15" i="31"/>
  <c r="Y15" i="31"/>
  <c r="R15" i="31"/>
  <c r="Q15" i="31"/>
  <c r="AA15" i="31" s="1"/>
  <c r="P15" i="31"/>
  <c r="Z15" i="31" s="1"/>
  <c r="AB14" i="31"/>
  <c r="Z14" i="31"/>
  <c r="Y14" i="31"/>
  <c r="R14" i="31"/>
  <c r="Q14" i="31"/>
  <c r="AA14" i="31" s="1"/>
  <c r="P14" i="31"/>
  <c r="AA13" i="31"/>
  <c r="Y13" i="31"/>
  <c r="R13" i="31"/>
  <c r="AB13" i="31" s="1"/>
  <c r="Q13" i="31"/>
  <c r="P13" i="31"/>
  <c r="AB12" i="31"/>
  <c r="Y12" i="31"/>
  <c r="R12" i="31"/>
  <c r="Q12" i="31"/>
  <c r="AA12" i="31" s="1"/>
  <c r="P12" i="31"/>
  <c r="Z12" i="31" s="1"/>
  <c r="AB11" i="31"/>
  <c r="Z11" i="31"/>
  <c r="Y11" i="31"/>
  <c r="R11" i="31"/>
  <c r="Q11" i="31"/>
  <c r="AA11" i="31" s="1"/>
  <c r="P11" i="31"/>
  <c r="AA10" i="31"/>
  <c r="Y10" i="31"/>
  <c r="R10" i="31"/>
  <c r="AB10" i="31" s="1"/>
  <c r="Q10" i="31"/>
  <c r="P10" i="31"/>
  <c r="A6" i="31"/>
  <c r="A41" i="30"/>
  <c r="Z32" i="30"/>
  <c r="Y32" i="30"/>
  <c r="Z31" i="30"/>
  <c r="Y31" i="30"/>
  <c r="Z30" i="30"/>
  <c r="Y30" i="30"/>
  <c r="Z29" i="30"/>
  <c r="Y29" i="30"/>
  <c r="Z25" i="30"/>
  <c r="Y25" i="30"/>
  <c r="Z24" i="30"/>
  <c r="Y24" i="30"/>
  <c r="Y21" i="30"/>
  <c r="R21" i="30"/>
  <c r="AB21" i="30" s="1"/>
  <c r="Q21" i="30"/>
  <c r="AA21" i="30" s="1"/>
  <c r="P21" i="30"/>
  <c r="Z21" i="30" s="1"/>
  <c r="Y20" i="30"/>
  <c r="R20" i="30"/>
  <c r="AB20" i="30" s="1"/>
  <c r="Q20" i="30"/>
  <c r="AA20" i="30" s="1"/>
  <c r="P20" i="30"/>
  <c r="Z20" i="30" s="1"/>
  <c r="Y19" i="30"/>
  <c r="R19" i="30"/>
  <c r="AB19" i="30" s="1"/>
  <c r="Q19" i="30"/>
  <c r="AA19" i="30" s="1"/>
  <c r="P19" i="30"/>
  <c r="Z19" i="30" s="1"/>
  <c r="Y18" i="30"/>
  <c r="R18" i="30"/>
  <c r="AB18" i="30" s="1"/>
  <c r="Q18" i="30"/>
  <c r="AA18" i="30" s="1"/>
  <c r="P18" i="30"/>
  <c r="Y17" i="30"/>
  <c r="R17" i="30"/>
  <c r="AB17" i="30" s="1"/>
  <c r="Q17" i="30"/>
  <c r="AA17" i="30" s="1"/>
  <c r="P17" i="30"/>
  <c r="Z17" i="30" s="1"/>
  <c r="Y16" i="30"/>
  <c r="R16" i="30"/>
  <c r="AB16" i="30" s="1"/>
  <c r="Q16" i="30"/>
  <c r="AA16" i="30" s="1"/>
  <c r="P16" i="30"/>
  <c r="Z16" i="30" s="1"/>
  <c r="Y15" i="30"/>
  <c r="R15" i="30"/>
  <c r="AB15" i="30" s="1"/>
  <c r="Q15" i="30"/>
  <c r="AA15" i="30" s="1"/>
  <c r="P15" i="30"/>
  <c r="Z15" i="30" s="1"/>
  <c r="Y14" i="30"/>
  <c r="R14" i="30"/>
  <c r="AB14" i="30" s="1"/>
  <c r="Q14" i="30"/>
  <c r="AA14" i="30" s="1"/>
  <c r="P14" i="30"/>
  <c r="Y13" i="30"/>
  <c r="R13" i="30"/>
  <c r="AB13" i="30" s="1"/>
  <c r="Q13" i="30"/>
  <c r="AA13" i="30" s="1"/>
  <c r="P13" i="30"/>
  <c r="Y12" i="30"/>
  <c r="R12" i="30"/>
  <c r="AB12" i="30" s="1"/>
  <c r="Q12" i="30"/>
  <c r="AA12" i="30" s="1"/>
  <c r="P12" i="30"/>
  <c r="Y11" i="30"/>
  <c r="R11" i="30"/>
  <c r="AB11" i="30" s="1"/>
  <c r="Q11" i="30"/>
  <c r="AA11" i="30" s="1"/>
  <c r="P11" i="30"/>
  <c r="Y10" i="30"/>
  <c r="R10" i="30"/>
  <c r="AB10" i="30" s="1"/>
  <c r="Q10" i="30"/>
  <c r="AA10" i="30" s="1"/>
  <c r="P10" i="30"/>
  <c r="Z10" i="30" s="1"/>
  <c r="A6" i="30"/>
  <c r="A41" i="29"/>
  <c r="Y16" i="29"/>
  <c r="Q16" i="29"/>
  <c r="AA16" i="29"/>
  <c r="R16" i="29"/>
  <c r="AB16" i="29"/>
  <c r="P16" i="29"/>
  <c r="Z16" i="29"/>
  <c r="Z32" i="29"/>
  <c r="Y32" i="29"/>
  <c r="Z31" i="29"/>
  <c r="Y31" i="29"/>
  <c r="Z30" i="29"/>
  <c r="Y30" i="29"/>
  <c r="Z29" i="29"/>
  <c r="Y29" i="29"/>
  <c r="Z25" i="29"/>
  <c r="Y25" i="29"/>
  <c r="Z24" i="29"/>
  <c r="Y24" i="29"/>
  <c r="Y21" i="29"/>
  <c r="R21" i="29"/>
  <c r="AB21" i="29" s="1"/>
  <c r="Q21" i="29"/>
  <c r="AA21" i="29" s="1"/>
  <c r="P21" i="29"/>
  <c r="Z21" i="29" s="1"/>
  <c r="Y20" i="29"/>
  <c r="R20" i="29"/>
  <c r="AB20" i="29" s="1"/>
  <c r="Q20" i="29"/>
  <c r="AA20" i="29" s="1"/>
  <c r="P20" i="29"/>
  <c r="Y19" i="29"/>
  <c r="R19" i="29"/>
  <c r="AB19" i="29" s="1"/>
  <c r="Q19" i="29"/>
  <c r="AA19" i="29" s="1"/>
  <c r="P19" i="29"/>
  <c r="Z19" i="29" s="1"/>
  <c r="Y18" i="29"/>
  <c r="R18" i="29"/>
  <c r="AB18" i="29" s="1"/>
  <c r="Q18" i="29"/>
  <c r="AA18" i="29" s="1"/>
  <c r="P18" i="29"/>
  <c r="Y17" i="29"/>
  <c r="R17" i="29"/>
  <c r="AB17" i="29" s="1"/>
  <c r="Q17" i="29"/>
  <c r="AA17" i="29" s="1"/>
  <c r="P17" i="29"/>
  <c r="Z17" i="29" s="1"/>
  <c r="Y13" i="29"/>
  <c r="R13" i="29"/>
  <c r="AB13" i="29" s="1"/>
  <c r="Q13" i="29"/>
  <c r="AA13" i="29" s="1"/>
  <c r="P13" i="29"/>
  <c r="Y15" i="29"/>
  <c r="R15" i="29"/>
  <c r="AB15" i="29" s="1"/>
  <c r="Q15" i="29"/>
  <c r="AA15" i="29" s="1"/>
  <c r="P15" i="29"/>
  <c r="Z15" i="29" s="1"/>
  <c r="Y14" i="29"/>
  <c r="R14" i="29"/>
  <c r="AB14" i="29" s="1"/>
  <c r="Q14" i="29"/>
  <c r="AA14" i="29" s="1"/>
  <c r="P14" i="29"/>
  <c r="Z14" i="29" s="1"/>
  <c r="Y12" i="29"/>
  <c r="R12" i="29"/>
  <c r="AB12" i="29" s="1"/>
  <c r="Q12" i="29"/>
  <c r="AA12" i="29" s="1"/>
  <c r="P12" i="29"/>
  <c r="Y11" i="29"/>
  <c r="R11" i="29"/>
  <c r="AB11" i="29" s="1"/>
  <c r="Q11" i="29"/>
  <c r="AA11" i="29" s="1"/>
  <c r="P11" i="29"/>
  <c r="Z11" i="29" s="1"/>
  <c r="Y10" i="29"/>
  <c r="R10" i="29"/>
  <c r="AB10" i="29" s="1"/>
  <c r="Q10" i="29"/>
  <c r="AA10" i="29" s="1"/>
  <c r="P10" i="29"/>
  <c r="A6" i="29"/>
  <c r="Z31" i="28"/>
  <c r="Y31" i="28"/>
  <c r="Z30" i="28"/>
  <c r="Y30" i="28"/>
  <c r="Z29" i="28"/>
  <c r="Y29" i="28"/>
  <c r="Z28" i="28"/>
  <c r="Y28" i="28"/>
  <c r="Z24" i="28"/>
  <c r="Z23" i="28"/>
  <c r="Y20" i="28"/>
  <c r="R20" i="28"/>
  <c r="AB20" i="28" s="1"/>
  <c r="Q20" i="28"/>
  <c r="AA20" i="28" s="1"/>
  <c r="P20" i="28"/>
  <c r="Y19" i="28"/>
  <c r="R19" i="28"/>
  <c r="AB19" i="28" s="1"/>
  <c r="Q19" i="28"/>
  <c r="AA19" i="28" s="1"/>
  <c r="P19" i="28"/>
  <c r="Z19" i="28" s="1"/>
  <c r="Y18" i="28"/>
  <c r="R18" i="28"/>
  <c r="AB18" i="28" s="1"/>
  <c r="Q18" i="28"/>
  <c r="AA18" i="28" s="1"/>
  <c r="P18" i="28"/>
  <c r="Z18" i="28" s="1"/>
  <c r="AA17" i="28"/>
  <c r="Y17" i="28"/>
  <c r="R17" i="28"/>
  <c r="AB17" i="28" s="1"/>
  <c r="Q17" i="28"/>
  <c r="P17" i="28"/>
  <c r="Z17" i="28" s="1"/>
  <c r="Y16" i="28"/>
  <c r="R16" i="28"/>
  <c r="AB16" i="28" s="1"/>
  <c r="Q16" i="28"/>
  <c r="AA16" i="28" s="1"/>
  <c r="P16" i="28"/>
  <c r="Z16" i="28" s="1"/>
  <c r="Y13" i="28"/>
  <c r="R13" i="28"/>
  <c r="AB13" i="28" s="1"/>
  <c r="Q13" i="28"/>
  <c r="AA13" i="28" s="1"/>
  <c r="P13" i="28"/>
  <c r="Z15" i="28"/>
  <c r="Y15" i="28"/>
  <c r="R15" i="28"/>
  <c r="AB15" i="28" s="1"/>
  <c r="Q15" i="28"/>
  <c r="AA15" i="28" s="1"/>
  <c r="P15" i="28"/>
  <c r="Y14" i="28"/>
  <c r="R14" i="28"/>
  <c r="AB14" i="28" s="1"/>
  <c r="Q14" i="28"/>
  <c r="AA14" i="28" s="1"/>
  <c r="P14" i="28"/>
  <c r="AB12" i="28"/>
  <c r="Y12" i="28"/>
  <c r="R12" i="28"/>
  <c r="Q12" i="28"/>
  <c r="AA12" i="28" s="1"/>
  <c r="P12" i="28"/>
  <c r="Z12" i="28" s="1"/>
  <c r="Y11" i="28"/>
  <c r="R11" i="28"/>
  <c r="AB11" i="28" s="1"/>
  <c r="Q11" i="28"/>
  <c r="AA11" i="28" s="1"/>
  <c r="P11" i="28"/>
  <c r="Y10" i="28"/>
  <c r="R10" i="28"/>
  <c r="AB10" i="28" s="1"/>
  <c r="Q10" i="28"/>
  <c r="AA10" i="28" s="1"/>
  <c r="P10" i="28"/>
  <c r="A6" i="28"/>
  <c r="Z31" i="27"/>
  <c r="Y31" i="27"/>
  <c r="Z30" i="27"/>
  <c r="Y30" i="27"/>
  <c r="Z29" i="27"/>
  <c r="Y29" i="27"/>
  <c r="Z28" i="27"/>
  <c r="Y28" i="27"/>
  <c r="Z24" i="27"/>
  <c r="Z23" i="27"/>
  <c r="Y20" i="27"/>
  <c r="R20" i="27"/>
  <c r="AB20" i="27" s="1"/>
  <c r="Q20" i="27"/>
  <c r="AA20" i="27" s="1"/>
  <c r="P20" i="27"/>
  <c r="Z20" i="27" s="1"/>
  <c r="Y19" i="27"/>
  <c r="R19" i="27"/>
  <c r="AB19" i="27" s="1"/>
  <c r="Q19" i="27"/>
  <c r="AA19" i="27" s="1"/>
  <c r="P19" i="27"/>
  <c r="Z19" i="27" s="1"/>
  <c r="Y18" i="27"/>
  <c r="R18" i="27"/>
  <c r="AB18" i="27" s="1"/>
  <c r="Q18" i="27"/>
  <c r="AA18" i="27" s="1"/>
  <c r="P18" i="27"/>
  <c r="Z18" i="27" s="1"/>
  <c r="Y17" i="27"/>
  <c r="R17" i="27"/>
  <c r="AB17" i="27" s="1"/>
  <c r="Q17" i="27"/>
  <c r="AA17" i="27" s="1"/>
  <c r="P17" i="27"/>
  <c r="Z17" i="27" s="1"/>
  <c r="Y16" i="27"/>
  <c r="R16" i="27"/>
  <c r="AB16" i="27" s="1"/>
  <c r="Q16" i="27"/>
  <c r="AA16" i="27" s="1"/>
  <c r="P16" i="27"/>
  <c r="Z16" i="27" s="1"/>
  <c r="Y13" i="27"/>
  <c r="R13" i="27"/>
  <c r="AB13" i="27" s="1"/>
  <c r="Q13" i="27"/>
  <c r="AA13" i="27" s="1"/>
  <c r="P13" i="27"/>
  <c r="Y15" i="27"/>
  <c r="R15" i="27"/>
  <c r="AB15" i="27" s="1"/>
  <c r="Q15" i="27"/>
  <c r="AA15" i="27" s="1"/>
  <c r="P15" i="27"/>
  <c r="Z15" i="27" s="1"/>
  <c r="Y14" i="27"/>
  <c r="R14" i="27"/>
  <c r="AB14" i="27" s="1"/>
  <c r="Q14" i="27"/>
  <c r="AA14" i="27" s="1"/>
  <c r="P14" i="27"/>
  <c r="AA12" i="27"/>
  <c r="Y12" i="27"/>
  <c r="R12" i="27"/>
  <c r="AB12" i="27" s="1"/>
  <c r="Q12" i="27"/>
  <c r="P12" i="27"/>
  <c r="Z12" i="27" s="1"/>
  <c r="Y11" i="27"/>
  <c r="R11" i="27"/>
  <c r="AB11" i="27" s="1"/>
  <c r="Q11" i="27"/>
  <c r="AA11" i="27" s="1"/>
  <c r="P11" i="27"/>
  <c r="Y10" i="27"/>
  <c r="R10" i="27"/>
  <c r="AB10" i="27" s="1"/>
  <c r="Q10" i="27"/>
  <c r="AA10" i="27" s="1"/>
  <c r="P10" i="27"/>
  <c r="A6" i="27"/>
  <c r="A6" i="23"/>
  <c r="O24" i="20"/>
  <c r="T24" i="20" s="1"/>
  <c r="O23" i="20"/>
  <c r="T23" i="20"/>
  <c r="O28" i="18"/>
  <c r="O29" i="20" s="1"/>
  <c r="O29" i="18"/>
  <c r="O30" i="20" s="1"/>
  <c r="T30" i="20" s="1"/>
  <c r="O30" i="18"/>
  <c r="A30" i="18" s="1"/>
  <c r="O27" i="18"/>
  <c r="O28" i="20" s="1"/>
  <c r="A28" i="20" s="1"/>
  <c r="O23" i="18"/>
  <c r="O22" i="18"/>
  <c r="Z31" i="23"/>
  <c r="Y31" i="23"/>
  <c r="Z30" i="23"/>
  <c r="Y30" i="23"/>
  <c r="Z29" i="23"/>
  <c r="Y29" i="23"/>
  <c r="Z28" i="23"/>
  <c r="Y28" i="23"/>
  <c r="Z24" i="23"/>
  <c r="Y24" i="23"/>
  <c r="Z23" i="23"/>
  <c r="Y23" i="23"/>
  <c r="Y11" i="23"/>
  <c r="Y12" i="23"/>
  <c r="Y14" i="23"/>
  <c r="Y15" i="23"/>
  <c r="Y13" i="23"/>
  <c r="Y16" i="23"/>
  <c r="Y17" i="23"/>
  <c r="Y18" i="23"/>
  <c r="Y19" i="23"/>
  <c r="Y20" i="23"/>
  <c r="Y10" i="23"/>
  <c r="P11" i="23"/>
  <c r="Z11" i="23" s="1"/>
  <c r="Q11" i="23"/>
  <c r="AA11" i="23" s="1"/>
  <c r="R11" i="23"/>
  <c r="AB11" i="23" s="1"/>
  <c r="P12" i="23"/>
  <c r="Z12" i="23" s="1"/>
  <c r="Q12" i="23"/>
  <c r="AA12" i="23" s="1"/>
  <c r="R12" i="23"/>
  <c r="AB12" i="23" s="1"/>
  <c r="P14" i="23"/>
  <c r="Z14" i="23" s="1"/>
  <c r="Q14" i="23"/>
  <c r="AA14" i="23" s="1"/>
  <c r="R14" i="23"/>
  <c r="AB14" i="23" s="1"/>
  <c r="P15" i="23"/>
  <c r="Z15" i="23" s="1"/>
  <c r="Q15" i="23"/>
  <c r="AA15" i="23" s="1"/>
  <c r="R15" i="23"/>
  <c r="AB15" i="23" s="1"/>
  <c r="P13" i="23"/>
  <c r="Z13" i="23" s="1"/>
  <c r="Q13" i="23"/>
  <c r="AA13" i="23" s="1"/>
  <c r="R13" i="23"/>
  <c r="AB13" i="23" s="1"/>
  <c r="P16" i="23"/>
  <c r="Z16" i="23" s="1"/>
  <c r="Q16" i="23"/>
  <c r="AA16" i="23" s="1"/>
  <c r="R16" i="23"/>
  <c r="AB16" i="23" s="1"/>
  <c r="P17" i="23"/>
  <c r="Z17" i="23" s="1"/>
  <c r="Q17" i="23"/>
  <c r="AA17" i="23" s="1"/>
  <c r="R17" i="23"/>
  <c r="AB17" i="23" s="1"/>
  <c r="P18" i="23"/>
  <c r="Z18" i="23" s="1"/>
  <c r="Q18" i="23"/>
  <c r="AA18" i="23" s="1"/>
  <c r="R18" i="23"/>
  <c r="AB18" i="23" s="1"/>
  <c r="P19" i="23"/>
  <c r="Z19" i="23" s="1"/>
  <c r="Q19" i="23"/>
  <c r="AA19" i="23" s="1"/>
  <c r="R19" i="23"/>
  <c r="AB19" i="23" s="1"/>
  <c r="P20" i="23"/>
  <c r="Z20" i="23" s="1"/>
  <c r="Q20" i="23"/>
  <c r="AA20" i="23" s="1"/>
  <c r="R20" i="23"/>
  <c r="AB20" i="23" s="1"/>
  <c r="R10" i="23"/>
  <c r="AB10" i="23" s="1"/>
  <c r="Q10" i="23"/>
  <c r="AA10" i="23" s="1"/>
  <c r="P10" i="23"/>
  <c r="Z10" i="23" s="1"/>
  <c r="Q24" i="20"/>
  <c r="Q23" i="20"/>
  <c r="Q10" i="20"/>
  <c r="R10" i="20"/>
  <c r="S10" i="20"/>
  <c r="Q11" i="20"/>
  <c r="R11" i="20"/>
  <c r="S11" i="20"/>
  <c r="Q12" i="20"/>
  <c r="R12" i="20"/>
  <c r="S12" i="20"/>
  <c r="Q13" i="20"/>
  <c r="R13" i="20"/>
  <c r="S13" i="20"/>
  <c r="Q14" i="20"/>
  <c r="R14" i="20"/>
  <c r="S14" i="20"/>
  <c r="Q15" i="20"/>
  <c r="R15" i="20"/>
  <c r="S15" i="20"/>
  <c r="T15" i="20"/>
  <c r="U15" i="20"/>
  <c r="V15" i="20"/>
  <c r="W15" i="20"/>
  <c r="X15" i="20"/>
  <c r="Y15" i="20"/>
  <c r="Q16" i="20"/>
  <c r="R16" i="20"/>
  <c r="S16" i="20"/>
  <c r="Q17" i="20"/>
  <c r="R17" i="20"/>
  <c r="S17" i="20"/>
  <c r="Q18" i="20"/>
  <c r="R18" i="20"/>
  <c r="S18" i="20"/>
  <c r="Q19" i="20"/>
  <c r="R19" i="20"/>
  <c r="S19" i="20"/>
  <c r="S9" i="20"/>
  <c r="R9" i="20"/>
  <c r="Q9" i="20"/>
  <c r="A23" i="18"/>
  <c r="A22" i="18"/>
  <c r="A23" i="17"/>
  <c r="A22" i="17"/>
  <c r="M9" i="18"/>
  <c r="M9" i="20" s="1"/>
  <c r="Y9" i="20" s="1"/>
  <c r="H18" i="16"/>
  <c r="H18" i="17"/>
  <c r="H18" i="18"/>
  <c r="H19" i="20" s="1"/>
  <c r="T19" i="20" s="1"/>
  <c r="K12" i="16"/>
  <c r="K12" i="17"/>
  <c r="K12" i="18"/>
  <c r="K12" i="20" s="1"/>
  <c r="W12" i="20" s="1"/>
  <c r="K16" i="16"/>
  <c r="K16" i="17"/>
  <c r="K16" i="18"/>
  <c r="K17" i="20" s="1"/>
  <c r="W17" i="20" s="1"/>
  <c r="J18" i="16"/>
  <c r="J18" i="17"/>
  <c r="J18" i="18"/>
  <c r="J19" i="20" s="1"/>
  <c r="V19" i="20" s="1"/>
  <c r="K18" i="16"/>
  <c r="K18" i="17"/>
  <c r="K18" i="18"/>
  <c r="K19" i="20" s="1"/>
  <c r="W19" i="20" s="1"/>
  <c r="M18" i="22"/>
  <c r="M18" i="16"/>
  <c r="M18" i="17"/>
  <c r="M18" i="18"/>
  <c r="M19" i="20" s="1"/>
  <c r="Y19" i="20" s="1"/>
  <c r="L18" i="22"/>
  <c r="L18" i="16"/>
  <c r="L18" i="17"/>
  <c r="L18" i="18"/>
  <c r="L19" i="20" s="1"/>
  <c r="X19" i="20" s="1"/>
  <c r="K18" i="22"/>
  <c r="J18" i="22"/>
  <c r="I18" i="22"/>
  <c r="I18" i="16"/>
  <c r="I18" i="17"/>
  <c r="I18" i="18"/>
  <c r="I19" i="20" s="1"/>
  <c r="U19" i="20" s="1"/>
  <c r="H18" i="22"/>
  <c r="K17" i="22"/>
  <c r="K17" i="16"/>
  <c r="K17" i="17"/>
  <c r="K17" i="18"/>
  <c r="K18" i="20" s="1"/>
  <c r="W18" i="20" s="1"/>
  <c r="K13" i="22"/>
  <c r="K13" i="16"/>
  <c r="K13" i="17"/>
  <c r="K10" i="18"/>
  <c r="K10" i="20" s="1"/>
  <c r="W10" i="20" s="1"/>
  <c r="I14" i="17"/>
  <c r="I13" i="18"/>
  <c r="I13" i="20" s="1"/>
  <c r="U13" i="20" s="1"/>
  <c r="M9" i="14"/>
  <c r="L9" i="14"/>
  <c r="L16" i="12"/>
  <c r="L16" i="13"/>
  <c r="L16" i="14"/>
  <c r="L16" i="15"/>
  <c r="L16" i="22"/>
  <c r="L16" i="16"/>
  <c r="L16" i="17"/>
  <c r="L16" i="18"/>
  <c r="L17" i="20" s="1"/>
  <c r="X17" i="20" s="1"/>
  <c r="L15" i="12"/>
  <c r="L15" i="13"/>
  <c r="L15" i="14"/>
  <c r="L15" i="15"/>
  <c r="L15" i="22"/>
  <c r="L15" i="16"/>
  <c r="L15" i="17"/>
  <c r="L15" i="18"/>
  <c r="L16" i="20" s="1"/>
  <c r="X16" i="20" s="1"/>
  <c r="I15" i="12"/>
  <c r="I15" i="13"/>
  <c r="I15" i="14"/>
  <c r="I15" i="15"/>
  <c r="I15" i="22"/>
  <c r="I15" i="16"/>
  <c r="I15" i="17"/>
  <c r="I15" i="18"/>
  <c r="I16" i="20" s="1"/>
  <c r="U16" i="20" s="1"/>
  <c r="L11" i="12"/>
  <c r="L11" i="13"/>
  <c r="L11" i="14"/>
  <c r="L11" i="15"/>
  <c r="L11" i="22"/>
  <c r="L11" i="16"/>
  <c r="L11" i="17"/>
  <c r="L14" i="18"/>
  <c r="L14" i="20" s="1"/>
  <c r="X14" i="20" s="1"/>
  <c r="A36" i="11"/>
  <c r="A34" i="12"/>
  <c r="A33" i="13"/>
  <c r="A33" i="14"/>
  <c r="A30" i="15"/>
  <c r="A30" i="22"/>
  <c r="A30" i="16"/>
  <c r="A30" i="17"/>
  <c r="O30" i="17"/>
  <c r="A35" i="11"/>
  <c r="A33" i="12"/>
  <c r="A32" i="13"/>
  <c r="A32" i="14"/>
  <c r="A29" i="15"/>
  <c r="A29" i="22"/>
  <c r="A29" i="16"/>
  <c r="A29" i="17"/>
  <c r="O29" i="17"/>
  <c r="A34" i="11"/>
  <c r="A32" i="12"/>
  <c r="A31" i="13"/>
  <c r="A31" i="14"/>
  <c r="A28" i="15"/>
  <c r="A28" i="22"/>
  <c r="A28" i="16"/>
  <c r="A28" i="17"/>
  <c r="O28" i="17"/>
  <c r="A33" i="11"/>
  <c r="A31" i="12"/>
  <c r="A30" i="13"/>
  <c r="A30" i="14"/>
  <c r="A27" i="15"/>
  <c r="A27" i="22"/>
  <c r="A27" i="16"/>
  <c r="A27" i="17"/>
  <c r="O27" i="17"/>
  <c r="N19" i="11"/>
  <c r="M17" i="12"/>
  <c r="M17" i="13"/>
  <c r="M17" i="14"/>
  <c r="M17" i="15"/>
  <c r="M17" i="22"/>
  <c r="M17" i="16"/>
  <c r="M17" i="17"/>
  <c r="M17" i="18"/>
  <c r="M18" i="20" s="1"/>
  <c r="Y18" i="20" s="1"/>
  <c r="M19" i="11"/>
  <c r="L17" i="12"/>
  <c r="L17" i="13"/>
  <c r="L17" i="14"/>
  <c r="L17" i="15"/>
  <c r="L17" i="22"/>
  <c r="L17" i="16"/>
  <c r="L17" i="17"/>
  <c r="L17" i="18"/>
  <c r="L18" i="20" s="1"/>
  <c r="X18" i="20" s="1"/>
  <c r="L19" i="11"/>
  <c r="K17" i="12"/>
  <c r="K17" i="13"/>
  <c r="K17" i="14"/>
  <c r="K17" i="15"/>
  <c r="K19" i="11"/>
  <c r="J17" i="12"/>
  <c r="J17" i="13"/>
  <c r="J17" i="14"/>
  <c r="J17" i="15"/>
  <c r="J17" i="22"/>
  <c r="J17" i="16"/>
  <c r="J17" i="17"/>
  <c r="J17" i="18"/>
  <c r="J18" i="20" s="1"/>
  <c r="V18" i="20" s="1"/>
  <c r="J19" i="11"/>
  <c r="I17" i="12"/>
  <c r="I17" i="13"/>
  <c r="I17" i="14"/>
  <c r="I17" i="15"/>
  <c r="I17" i="22"/>
  <c r="I17" i="16"/>
  <c r="I17" i="17"/>
  <c r="I17" i="18"/>
  <c r="I18" i="20" s="1"/>
  <c r="U18" i="20" s="1"/>
  <c r="I19" i="11"/>
  <c r="H17" i="12"/>
  <c r="H17" i="13"/>
  <c r="H17" i="14"/>
  <c r="H17" i="15"/>
  <c r="H17" i="22"/>
  <c r="H17" i="16"/>
  <c r="H17" i="17"/>
  <c r="H17" i="18"/>
  <c r="H18" i="20" s="1"/>
  <c r="T18" i="20" s="1"/>
  <c r="N18" i="11"/>
  <c r="M16" i="12"/>
  <c r="M16" i="13"/>
  <c r="M16" i="14"/>
  <c r="M16" i="15"/>
  <c r="M16" i="22"/>
  <c r="M16" i="16"/>
  <c r="M16" i="17"/>
  <c r="M16" i="18"/>
  <c r="M17" i="20" s="1"/>
  <c r="Y17" i="20" s="1"/>
  <c r="M18" i="11"/>
  <c r="L18" i="11"/>
  <c r="K16" i="12"/>
  <c r="K16" i="13"/>
  <c r="K16" i="14"/>
  <c r="K16" i="15"/>
  <c r="K16" i="22"/>
  <c r="K18" i="11"/>
  <c r="J16" i="12"/>
  <c r="J16" i="13"/>
  <c r="J16" i="14"/>
  <c r="J16" i="15"/>
  <c r="J16" i="22"/>
  <c r="J16" i="16"/>
  <c r="J16" i="17"/>
  <c r="J16" i="18"/>
  <c r="J17" i="20" s="1"/>
  <c r="V17" i="20" s="1"/>
  <c r="J18" i="11"/>
  <c r="I16" i="12"/>
  <c r="I16" i="13"/>
  <c r="I16" i="14"/>
  <c r="I16" i="15"/>
  <c r="I16" i="22"/>
  <c r="I16" i="16"/>
  <c r="I16" i="17"/>
  <c r="I16" i="18"/>
  <c r="I17" i="20" s="1"/>
  <c r="U17" i="20" s="1"/>
  <c r="I18" i="11"/>
  <c r="H16" i="12"/>
  <c r="H16" i="13"/>
  <c r="H16" i="14"/>
  <c r="H16" i="15"/>
  <c r="H16" i="22"/>
  <c r="H16" i="16"/>
  <c r="H16" i="17"/>
  <c r="H16" i="18"/>
  <c r="H17" i="20" s="1"/>
  <c r="T17" i="20" s="1"/>
  <c r="N17" i="11"/>
  <c r="M15" i="12"/>
  <c r="M15" i="13"/>
  <c r="M15" i="14"/>
  <c r="M15" i="15"/>
  <c r="M15" i="22"/>
  <c r="M15" i="16"/>
  <c r="M15" i="17"/>
  <c r="M15" i="18"/>
  <c r="M16" i="20" s="1"/>
  <c r="Y16" i="20" s="1"/>
  <c r="M17" i="11"/>
  <c r="L17" i="11"/>
  <c r="K15" i="12"/>
  <c r="K15" i="13"/>
  <c r="K15" i="14"/>
  <c r="K15" i="15"/>
  <c r="K15" i="22"/>
  <c r="K15" i="16"/>
  <c r="K15" i="17"/>
  <c r="K15" i="18"/>
  <c r="K16" i="20" s="1"/>
  <c r="W16" i="20" s="1"/>
  <c r="K17" i="11"/>
  <c r="J15" i="12"/>
  <c r="J15" i="13"/>
  <c r="J15" i="14"/>
  <c r="J15" i="15"/>
  <c r="J15" i="22"/>
  <c r="J15" i="16"/>
  <c r="J15" i="17"/>
  <c r="J15" i="18"/>
  <c r="J16" i="20" s="1"/>
  <c r="V16" i="20" s="1"/>
  <c r="J17" i="11"/>
  <c r="I17" i="11"/>
  <c r="H15" i="12"/>
  <c r="H15" i="13"/>
  <c r="H15" i="14"/>
  <c r="H15" i="15"/>
  <c r="H15" i="22"/>
  <c r="H15" i="16"/>
  <c r="H15" i="17"/>
  <c r="H15" i="18"/>
  <c r="H16" i="20" s="1"/>
  <c r="T16" i="20" s="1"/>
  <c r="N16" i="11"/>
  <c r="M14" i="12"/>
  <c r="M14" i="13"/>
  <c r="M14" i="14"/>
  <c r="M14" i="15"/>
  <c r="M14" i="22"/>
  <c r="M14" i="16"/>
  <c r="M14" i="17"/>
  <c r="M13" i="18"/>
  <c r="M13" i="20" s="1"/>
  <c r="Y13" i="20" s="1"/>
  <c r="M16" i="11"/>
  <c r="L14" i="12"/>
  <c r="L14" i="13"/>
  <c r="L14" i="14"/>
  <c r="L14" i="15"/>
  <c r="L14" i="22"/>
  <c r="L14" i="16"/>
  <c r="L14" i="17"/>
  <c r="L13" i="18"/>
  <c r="L13" i="20" s="1"/>
  <c r="X13" i="20" s="1"/>
  <c r="L16" i="11"/>
  <c r="K14" i="12"/>
  <c r="K14" i="13"/>
  <c r="K14" i="14"/>
  <c r="K14" i="15"/>
  <c r="K14" i="22"/>
  <c r="K14" i="16"/>
  <c r="K14" i="17"/>
  <c r="K13" i="18"/>
  <c r="K13" i="20" s="1"/>
  <c r="W13" i="20" s="1"/>
  <c r="K16" i="11"/>
  <c r="J14" i="12"/>
  <c r="J14" i="13"/>
  <c r="J14" i="14"/>
  <c r="J14" i="15"/>
  <c r="J14" i="22"/>
  <c r="J14" i="16"/>
  <c r="J14" i="17"/>
  <c r="J13" i="18"/>
  <c r="J13" i="20" s="1"/>
  <c r="V13" i="20" s="1"/>
  <c r="J16" i="11"/>
  <c r="I14" i="12"/>
  <c r="I14" i="13"/>
  <c r="I14" i="14"/>
  <c r="I14" i="15"/>
  <c r="I14" i="22"/>
  <c r="I14" i="16"/>
  <c r="I16" i="11"/>
  <c r="H14" i="12"/>
  <c r="H14" i="13"/>
  <c r="H14" i="14"/>
  <c r="H14" i="15"/>
  <c r="H14" i="22"/>
  <c r="H14" i="16"/>
  <c r="H14" i="17"/>
  <c r="H13" i="18"/>
  <c r="H13" i="20" s="1"/>
  <c r="T13" i="20" s="1"/>
  <c r="N15" i="11"/>
  <c r="M13" i="12"/>
  <c r="M13" i="13"/>
  <c r="M13" i="14"/>
  <c r="M13" i="15"/>
  <c r="M13" i="22"/>
  <c r="M13" i="16"/>
  <c r="M13" i="17"/>
  <c r="M10" i="18"/>
  <c r="M10" i="20" s="1"/>
  <c r="Y10" i="20" s="1"/>
  <c r="M15" i="11"/>
  <c r="L13" i="12"/>
  <c r="L13" i="13"/>
  <c r="L13" i="14"/>
  <c r="L13" i="15"/>
  <c r="L13" i="22"/>
  <c r="L13" i="16"/>
  <c r="L13" i="17"/>
  <c r="L10" i="18"/>
  <c r="L10" i="20" s="1"/>
  <c r="X10" i="20" s="1"/>
  <c r="L15" i="11"/>
  <c r="K13" i="12"/>
  <c r="K13" i="13"/>
  <c r="K13" i="14"/>
  <c r="K13" i="15"/>
  <c r="K15" i="11"/>
  <c r="J13" i="12"/>
  <c r="J13" i="13"/>
  <c r="J13" i="14"/>
  <c r="J13" i="15"/>
  <c r="J13" i="22"/>
  <c r="J13" i="16"/>
  <c r="J13" i="17"/>
  <c r="J10" i="18"/>
  <c r="J10" i="20" s="1"/>
  <c r="V10" i="20" s="1"/>
  <c r="J15" i="11"/>
  <c r="I13" i="12"/>
  <c r="I13" i="13"/>
  <c r="I13" i="14"/>
  <c r="I13" i="15"/>
  <c r="I13" i="22"/>
  <c r="I13" i="16"/>
  <c r="I13" i="17"/>
  <c r="I10" i="18"/>
  <c r="I10" i="20" s="1"/>
  <c r="U10" i="20" s="1"/>
  <c r="I15" i="11"/>
  <c r="H13" i="12"/>
  <c r="H13" i="13"/>
  <c r="H13" i="14"/>
  <c r="H13" i="15"/>
  <c r="H13" i="22"/>
  <c r="H13" i="16"/>
  <c r="H13" i="17"/>
  <c r="H10" i="18"/>
  <c r="N14" i="11"/>
  <c r="M12" i="12"/>
  <c r="M12" i="13"/>
  <c r="M12" i="14"/>
  <c r="M12" i="15"/>
  <c r="M12" i="22"/>
  <c r="M12" i="16"/>
  <c r="M12" i="17"/>
  <c r="M12" i="18"/>
  <c r="M12" i="20" s="1"/>
  <c r="Y12" i="20" s="1"/>
  <c r="M14" i="11"/>
  <c r="L12" i="12"/>
  <c r="L12" i="13"/>
  <c r="L12" i="14"/>
  <c r="L12" i="15"/>
  <c r="L12" i="22"/>
  <c r="L12" i="16"/>
  <c r="L12" i="17"/>
  <c r="L12" i="18"/>
  <c r="L12" i="20" s="1"/>
  <c r="X12" i="20" s="1"/>
  <c r="L14" i="11"/>
  <c r="K12" i="12"/>
  <c r="K12" i="13"/>
  <c r="K12" i="14"/>
  <c r="K12" i="15"/>
  <c r="K12" i="22"/>
  <c r="K14" i="11"/>
  <c r="J12" i="12"/>
  <c r="J12" i="13"/>
  <c r="J12" i="14"/>
  <c r="J12" i="15"/>
  <c r="J12" i="22"/>
  <c r="J12" i="16"/>
  <c r="J12" i="17"/>
  <c r="J12" i="18"/>
  <c r="J12" i="20" s="1"/>
  <c r="V12" i="20" s="1"/>
  <c r="J14" i="11"/>
  <c r="I12" i="12"/>
  <c r="I12" i="13"/>
  <c r="I12" i="14"/>
  <c r="I12" i="15"/>
  <c r="I12" i="22"/>
  <c r="I12" i="16"/>
  <c r="I12" i="17"/>
  <c r="I12" i="18"/>
  <c r="I12" i="20" s="1"/>
  <c r="U12" i="20" s="1"/>
  <c r="I14" i="11"/>
  <c r="H12" i="12"/>
  <c r="H12" i="13"/>
  <c r="H12" i="14"/>
  <c r="H12" i="15"/>
  <c r="H12" i="22"/>
  <c r="H12" i="16"/>
  <c r="H12" i="17"/>
  <c r="H12" i="18"/>
  <c r="H12" i="20" s="1"/>
  <c r="T12" i="20" s="1"/>
  <c r="N13" i="11"/>
  <c r="M11" i="12"/>
  <c r="M11" i="13"/>
  <c r="M11" i="14"/>
  <c r="M11" i="15"/>
  <c r="M11" i="22"/>
  <c r="M11" i="16"/>
  <c r="M11" i="17"/>
  <c r="M14" i="18"/>
  <c r="M14" i="20" s="1"/>
  <c r="Y14" i="20" s="1"/>
  <c r="M13" i="11"/>
  <c r="L13" i="11"/>
  <c r="K11" i="12"/>
  <c r="K11" i="13"/>
  <c r="K11" i="14"/>
  <c r="K11" i="15"/>
  <c r="K11" i="22"/>
  <c r="K11" i="16"/>
  <c r="K11" i="17"/>
  <c r="K14" i="18"/>
  <c r="K14" i="20" s="1"/>
  <c r="W14" i="20" s="1"/>
  <c r="K13" i="11"/>
  <c r="J11" i="12"/>
  <c r="J11" i="13"/>
  <c r="J11" i="14"/>
  <c r="J11" i="15"/>
  <c r="J11" i="22"/>
  <c r="J11" i="16"/>
  <c r="J11" i="17"/>
  <c r="J14" i="18"/>
  <c r="J14" i="20" s="1"/>
  <c r="V14" i="20" s="1"/>
  <c r="J13" i="11"/>
  <c r="I11" i="12"/>
  <c r="I11" i="13"/>
  <c r="I11" i="14"/>
  <c r="I11" i="15"/>
  <c r="I11" i="22"/>
  <c r="I11" i="16"/>
  <c r="I11" i="17"/>
  <c r="I14" i="18"/>
  <c r="I14" i="20" s="1"/>
  <c r="U14" i="20" s="1"/>
  <c r="I13" i="11"/>
  <c r="H11" i="12"/>
  <c r="H11" i="13"/>
  <c r="H11" i="14"/>
  <c r="H11" i="15"/>
  <c r="H11" i="22"/>
  <c r="H11" i="16"/>
  <c r="H11" i="17"/>
  <c r="H14" i="18"/>
  <c r="H14" i="20" s="1"/>
  <c r="T14" i="20" s="1"/>
  <c r="N12" i="11"/>
  <c r="M10" i="12"/>
  <c r="M10" i="13"/>
  <c r="M10" i="14"/>
  <c r="M10" i="15"/>
  <c r="M10" i="22"/>
  <c r="M10" i="16"/>
  <c r="M10" i="17"/>
  <c r="M11" i="18"/>
  <c r="M11" i="20" s="1"/>
  <c r="Y11" i="20" s="1"/>
  <c r="M12" i="11"/>
  <c r="L10" i="12"/>
  <c r="L10" i="13"/>
  <c r="L10" i="14"/>
  <c r="L10" i="15"/>
  <c r="L10" i="22"/>
  <c r="L10" i="16"/>
  <c r="L10" i="17"/>
  <c r="L11" i="18"/>
  <c r="L11" i="20" s="1"/>
  <c r="X11" i="20" s="1"/>
  <c r="L12" i="11"/>
  <c r="K10" i="12"/>
  <c r="K10" i="13"/>
  <c r="K10" i="14"/>
  <c r="K10" i="15"/>
  <c r="K10" i="22"/>
  <c r="K10" i="16"/>
  <c r="K10" i="17"/>
  <c r="K11" i="18"/>
  <c r="K11" i="20" s="1"/>
  <c r="W11" i="20" s="1"/>
  <c r="K12" i="11"/>
  <c r="J10" i="12"/>
  <c r="J10" i="13"/>
  <c r="J10" i="14"/>
  <c r="J10" i="15"/>
  <c r="J10" i="22"/>
  <c r="J10" i="16"/>
  <c r="J10" i="17"/>
  <c r="J11" i="18"/>
  <c r="J11" i="20" s="1"/>
  <c r="V11" i="20" s="1"/>
  <c r="J12" i="11"/>
  <c r="I10" i="12"/>
  <c r="I10" i="13"/>
  <c r="I10" i="14"/>
  <c r="I10" i="15"/>
  <c r="I10" i="22"/>
  <c r="I10" i="16"/>
  <c r="I10" i="17"/>
  <c r="I11" i="18"/>
  <c r="I11" i="20" s="1"/>
  <c r="U11" i="20" s="1"/>
  <c r="I12" i="11"/>
  <c r="H10" i="12"/>
  <c r="H10" i="13"/>
  <c r="H10" i="14"/>
  <c r="H10" i="15"/>
  <c r="H10" i="22"/>
  <c r="H10" i="16"/>
  <c r="H10" i="17"/>
  <c r="H11" i="18"/>
  <c r="H11" i="20" s="1"/>
  <c r="T11" i="20" s="1"/>
  <c r="N11" i="11"/>
  <c r="M9" i="12"/>
  <c r="M9" i="13"/>
  <c r="M11" i="11"/>
  <c r="L9" i="12"/>
  <c r="L9" i="13"/>
  <c r="L11" i="11"/>
  <c r="K9" i="12"/>
  <c r="K9" i="13"/>
  <c r="K11" i="11"/>
  <c r="J9" i="12"/>
  <c r="J9" i="13"/>
  <c r="J11" i="11"/>
  <c r="I9" i="12"/>
  <c r="I9" i="13"/>
  <c r="I11" i="11"/>
  <c r="H9" i="12"/>
  <c r="H9" i="13"/>
  <c r="I12" i="6"/>
  <c r="I12" i="7"/>
  <c r="A38" i="5"/>
  <c r="A37" i="6"/>
  <c r="A36" i="7"/>
  <c r="A37" i="5"/>
  <c r="A36" i="6"/>
  <c r="A35" i="7"/>
  <c r="A36" i="5"/>
  <c r="A35" i="6"/>
  <c r="A34" i="7"/>
  <c r="A35" i="5"/>
  <c r="A34" i="6"/>
  <c r="A33" i="7"/>
  <c r="O18" i="5"/>
  <c r="N20" i="6"/>
  <c r="N19" i="7"/>
  <c r="N18" i="5"/>
  <c r="M20" i="6"/>
  <c r="M19" i="7"/>
  <c r="M18" i="5"/>
  <c r="L20" i="6"/>
  <c r="L19" i="7"/>
  <c r="L18" i="5"/>
  <c r="K20" i="6"/>
  <c r="K19" i="7"/>
  <c r="K18" i="5"/>
  <c r="J20" i="6"/>
  <c r="J19" i="7"/>
  <c r="O17" i="5"/>
  <c r="N19" i="6"/>
  <c r="N17" i="5"/>
  <c r="M19" i="6"/>
  <c r="M17" i="5"/>
  <c r="L18" i="6"/>
  <c r="L18" i="7"/>
  <c r="L17" i="5"/>
  <c r="K19" i="6"/>
  <c r="K17" i="5"/>
  <c r="J18" i="6"/>
  <c r="J18" i="7"/>
  <c r="O16" i="5"/>
  <c r="N17" i="6"/>
  <c r="N17" i="7"/>
  <c r="N16" i="5"/>
  <c r="M17" i="6"/>
  <c r="M17" i="7"/>
  <c r="M16" i="5"/>
  <c r="L17" i="6"/>
  <c r="L17" i="7"/>
  <c r="L16" i="5"/>
  <c r="K17" i="6"/>
  <c r="K17" i="7"/>
  <c r="K16" i="5"/>
  <c r="J17" i="6"/>
  <c r="J17" i="7"/>
  <c r="O15" i="5"/>
  <c r="N16" i="6"/>
  <c r="N16" i="7"/>
  <c r="N15" i="5"/>
  <c r="M16" i="6"/>
  <c r="M16" i="7"/>
  <c r="M15" i="5"/>
  <c r="L16" i="6"/>
  <c r="L16" i="7"/>
  <c r="L15" i="5"/>
  <c r="K16" i="6"/>
  <c r="K16" i="7"/>
  <c r="K15" i="5"/>
  <c r="J16" i="6"/>
  <c r="J16" i="7"/>
  <c r="O14" i="5"/>
  <c r="N15" i="6"/>
  <c r="N15" i="7"/>
  <c r="N14" i="5"/>
  <c r="M15" i="6"/>
  <c r="M15" i="7"/>
  <c r="M14" i="5"/>
  <c r="L15" i="6"/>
  <c r="L15" i="7"/>
  <c r="L14" i="5"/>
  <c r="K15" i="6"/>
  <c r="K15" i="7"/>
  <c r="K14" i="5"/>
  <c r="J15" i="6"/>
  <c r="J15" i="7"/>
  <c r="O13" i="5"/>
  <c r="N14" i="6"/>
  <c r="N14" i="7"/>
  <c r="N13" i="5"/>
  <c r="M14" i="6"/>
  <c r="M14" i="7"/>
  <c r="M13" i="5"/>
  <c r="L14" i="6"/>
  <c r="L14" i="7"/>
  <c r="L13" i="5"/>
  <c r="K14" i="6"/>
  <c r="K14" i="7"/>
  <c r="K13" i="5"/>
  <c r="J14" i="6"/>
  <c r="J14" i="7"/>
  <c r="O12" i="5"/>
  <c r="N13" i="6"/>
  <c r="N13" i="7"/>
  <c r="N12" i="5"/>
  <c r="M13" i="6"/>
  <c r="M13" i="7"/>
  <c r="M12" i="5"/>
  <c r="L13" i="6"/>
  <c r="L13" i="7"/>
  <c r="L12" i="5"/>
  <c r="K13" i="6"/>
  <c r="K13" i="7"/>
  <c r="K12" i="5"/>
  <c r="J13" i="6"/>
  <c r="J13" i="7"/>
  <c r="O11" i="5"/>
  <c r="N12" i="6"/>
  <c r="N12" i="7"/>
  <c r="N11" i="5"/>
  <c r="M12" i="6"/>
  <c r="M12" i="7"/>
  <c r="M11" i="5"/>
  <c r="L12" i="6"/>
  <c r="L12" i="7"/>
  <c r="L11" i="5"/>
  <c r="K12" i="6"/>
  <c r="K12" i="7"/>
  <c r="K11" i="5"/>
  <c r="J12" i="6"/>
  <c r="J12" i="7"/>
  <c r="O10" i="5"/>
  <c r="N11" i="6"/>
  <c r="N11" i="7"/>
  <c r="N10" i="5"/>
  <c r="M11" i="6"/>
  <c r="M11" i="7"/>
  <c r="M10" i="5"/>
  <c r="L11" i="6"/>
  <c r="L11" i="7"/>
  <c r="L10" i="5"/>
  <c r="K11" i="6"/>
  <c r="K11" i="7"/>
  <c r="K10" i="5"/>
  <c r="J11" i="6"/>
  <c r="J11" i="7"/>
  <c r="O9" i="5"/>
  <c r="N10" i="6"/>
  <c r="N10" i="7"/>
  <c r="N9" i="5"/>
  <c r="M10" i="6"/>
  <c r="M10" i="7"/>
  <c r="M9" i="5"/>
  <c r="L10" i="6"/>
  <c r="L10" i="7"/>
  <c r="L9" i="5"/>
  <c r="K10" i="6"/>
  <c r="K10" i="7"/>
  <c r="K9" i="5"/>
  <c r="J10" i="6"/>
  <c r="J10" i="7"/>
  <c r="O8" i="5"/>
  <c r="N9" i="6"/>
  <c r="N9" i="7"/>
  <c r="N8" i="5"/>
  <c r="M9" i="6"/>
  <c r="M9" i="7"/>
  <c r="M8" i="5"/>
  <c r="L9" i="6"/>
  <c r="L9" i="7"/>
  <c r="L8" i="5"/>
  <c r="K9" i="6"/>
  <c r="K9" i="7"/>
  <c r="K8" i="5"/>
  <c r="J9" i="6"/>
  <c r="J9" i="7"/>
  <c r="J18" i="5"/>
  <c r="I20" i="6"/>
  <c r="I19" i="7"/>
  <c r="J17" i="5"/>
  <c r="I19" i="6"/>
  <c r="J16" i="5"/>
  <c r="I17" i="6"/>
  <c r="I17" i="7"/>
  <c r="J15" i="5"/>
  <c r="I16" i="6"/>
  <c r="I16" i="7"/>
  <c r="J14" i="5"/>
  <c r="I15" i="6"/>
  <c r="I15" i="7"/>
  <c r="J13" i="5"/>
  <c r="I14" i="6"/>
  <c r="I14" i="7"/>
  <c r="J12" i="5"/>
  <c r="I13" i="6"/>
  <c r="I13" i="7"/>
  <c r="J11" i="5"/>
  <c r="J10" i="5"/>
  <c r="I11" i="6"/>
  <c r="I11" i="7"/>
  <c r="J9" i="5"/>
  <c r="I10" i="6"/>
  <c r="I10" i="7"/>
  <c r="J8" i="5"/>
  <c r="I9" i="6"/>
  <c r="I9" i="7"/>
  <c r="I8" i="5"/>
  <c r="H9" i="7"/>
  <c r="I9" i="5"/>
  <c r="H10" i="7"/>
  <c r="I10" i="5"/>
  <c r="H11" i="7"/>
  <c r="I11" i="5"/>
  <c r="I12" i="5"/>
  <c r="H13" i="7"/>
  <c r="I13" i="5"/>
  <c r="H14" i="7"/>
  <c r="I14" i="5"/>
  <c r="H15" i="6"/>
  <c r="I15" i="5"/>
  <c r="H16" i="7"/>
  <c r="I16" i="5"/>
  <c r="H17" i="7"/>
  <c r="I17" i="5"/>
  <c r="I18" i="5"/>
  <c r="H19" i="7"/>
  <c r="H17" i="6"/>
  <c r="H13" i="6"/>
  <c r="H11" i="6"/>
  <c r="H18" i="5"/>
  <c r="H17" i="5"/>
  <c r="H16" i="5"/>
  <c r="H15" i="5"/>
  <c r="H14" i="5"/>
  <c r="H13" i="5"/>
  <c r="H12" i="5"/>
  <c r="H11" i="5"/>
  <c r="H10" i="5"/>
  <c r="H9" i="5"/>
  <c r="H8" i="5"/>
  <c r="H65" i="2"/>
  <c r="H64" i="2"/>
  <c r="H63" i="2"/>
  <c r="H62" i="2"/>
  <c r="H61" i="2"/>
  <c r="H60" i="2"/>
  <c r="H59" i="2"/>
  <c r="H58" i="2"/>
  <c r="H57" i="2"/>
  <c r="H56" i="2"/>
  <c r="H55" i="2"/>
  <c r="H54" i="2"/>
  <c r="H29" i="2"/>
  <c r="H28" i="2"/>
  <c r="H27" i="2"/>
  <c r="H26" i="2"/>
  <c r="H25" i="2"/>
  <c r="H24" i="2"/>
  <c r="H23" i="2"/>
  <c r="H22" i="2"/>
  <c r="H21" i="2"/>
  <c r="H20" i="2"/>
  <c r="H19" i="2"/>
  <c r="H18" i="2"/>
  <c r="P29" i="2"/>
  <c r="Q29" i="2"/>
  <c r="P28" i="2"/>
  <c r="Q28" i="2"/>
  <c r="P27" i="2"/>
  <c r="Q27" i="2"/>
  <c r="P26" i="2"/>
  <c r="Q26" i="2"/>
  <c r="P25" i="2"/>
  <c r="Q25" i="2"/>
  <c r="P24" i="2"/>
  <c r="Q24" i="2"/>
  <c r="P23" i="2"/>
  <c r="Q23" i="2"/>
  <c r="P22" i="2"/>
  <c r="Q22" i="2"/>
  <c r="P21" i="2"/>
  <c r="Q21" i="2"/>
  <c r="P20" i="2"/>
  <c r="Q20" i="2"/>
  <c r="P19" i="2"/>
  <c r="Q19" i="2"/>
  <c r="P18" i="2"/>
  <c r="Q18" i="2"/>
  <c r="A39" i="2"/>
  <c r="A13" i="2"/>
  <c r="A38" i="2"/>
  <c r="A12" i="2"/>
  <c r="A37" i="2"/>
  <c r="A11" i="2"/>
  <c r="A36" i="2"/>
  <c r="A10" i="2"/>
  <c r="A28" i="1"/>
  <c r="A27" i="1"/>
  <c r="A26" i="1"/>
  <c r="A25" i="1"/>
  <c r="O18" i="1"/>
  <c r="O17" i="1"/>
  <c r="O16" i="1"/>
  <c r="O15" i="1"/>
  <c r="O14" i="1"/>
  <c r="O13" i="1"/>
  <c r="O12" i="1"/>
  <c r="O11" i="1"/>
  <c r="O10" i="1"/>
  <c r="O9" i="1"/>
  <c r="O8" i="1"/>
  <c r="O7" i="1"/>
  <c r="K18" i="6"/>
  <c r="K18" i="7"/>
  <c r="I18" i="6"/>
  <c r="I18" i="7"/>
  <c r="H16" i="6"/>
  <c r="L19" i="6"/>
  <c r="N18" i="6"/>
  <c r="N18" i="7"/>
  <c r="H10" i="6"/>
  <c r="H14" i="6"/>
  <c r="M9" i="15"/>
  <c r="M9" i="22"/>
  <c r="M9" i="16"/>
  <c r="M9" i="17"/>
  <c r="J19" i="6"/>
  <c r="M18" i="6"/>
  <c r="M18" i="7"/>
  <c r="H18" i="7"/>
  <c r="H19" i="6"/>
  <c r="H18" i="6"/>
  <c r="H12" i="7"/>
  <c r="H12" i="6"/>
  <c r="K9" i="14"/>
  <c r="L9" i="15"/>
  <c r="L9" i="22"/>
  <c r="L9" i="16"/>
  <c r="L9" i="17"/>
  <c r="L9" i="18"/>
  <c r="L9" i="20" s="1"/>
  <c r="X9" i="20" s="1"/>
  <c r="H9" i="6"/>
  <c r="H15" i="7"/>
  <c r="H20" i="6"/>
  <c r="J9" i="14"/>
  <c r="K9" i="15"/>
  <c r="K9" i="22"/>
  <c r="K9" i="16"/>
  <c r="K9" i="17"/>
  <c r="K9" i="18"/>
  <c r="K9" i="20" s="1"/>
  <c r="W9" i="20" s="1"/>
  <c r="I9" i="14"/>
  <c r="J9" i="15"/>
  <c r="J9" i="22"/>
  <c r="J9" i="16"/>
  <c r="J9" i="17"/>
  <c r="J9" i="18"/>
  <c r="J9" i="20" s="1"/>
  <c r="V9" i="20" s="1"/>
  <c r="H9" i="14"/>
  <c r="H9" i="15"/>
  <c r="H9" i="22"/>
  <c r="H9" i="16"/>
  <c r="H9" i="17"/>
  <c r="H9" i="18"/>
  <c r="H9" i="20" s="1"/>
  <c r="T9" i="20" s="1"/>
  <c r="I9" i="15"/>
  <c r="I9" i="22"/>
  <c r="I9" i="16"/>
  <c r="I9" i="17"/>
  <c r="I9" i="18"/>
  <c r="I9" i="20" s="1"/>
  <c r="U9" i="20" s="1"/>
  <c r="A24" i="20"/>
  <c r="A29" i="18"/>
  <c r="H10" i="20"/>
  <c r="T10" i="20" s="1"/>
  <c r="U18" i="23" a="1"/>
  <c r="U17" i="23" a="1"/>
  <c r="S23" i="23" a="1"/>
  <c r="U14" i="23" a="1"/>
  <c r="W16" i="30" a="1"/>
  <c r="S19" i="23" a="1"/>
  <c r="X20" i="23" a="1"/>
  <c r="U13" i="23" a="1"/>
  <c r="S11" i="23" a="1"/>
  <c r="T20" i="23" a="1"/>
  <c r="X19" i="23" a="1"/>
  <c r="T14" i="23" a="1"/>
  <c r="T16" i="30" a="1"/>
  <c r="T11" i="23" a="1"/>
  <c r="V18" i="23" a="1"/>
  <c r="T13" i="23" a="1"/>
  <c r="S15" i="23" a="1"/>
  <c r="V16" i="23" a="1"/>
  <c r="X18" i="23" a="1"/>
  <c r="V17" i="23" a="1"/>
  <c r="X10" i="23" a="1"/>
  <c r="S24" i="23" a="1"/>
  <c r="W18" i="23" a="1"/>
  <c r="W13" i="23" a="1"/>
  <c r="T19" i="23" a="1"/>
  <c r="V19" i="23" a="1"/>
  <c r="U16" i="30" a="1"/>
  <c r="T18" i="23" a="1"/>
  <c r="S13" i="23" a="1"/>
  <c r="W15" i="23" a="1"/>
  <c r="S14" i="23" a="1"/>
  <c r="V11" i="23" a="1"/>
  <c r="S30" i="23" a="1"/>
  <c r="W12" i="23" a="1"/>
  <c r="U15" i="23" a="1"/>
  <c r="S20" i="23" a="1"/>
  <c r="S17" i="23" a="1"/>
  <c r="V13" i="23" a="1"/>
  <c r="W11" i="23" a="1"/>
  <c r="S18" i="23" a="1"/>
  <c r="U12" i="23" a="1"/>
  <c r="U11" i="23" a="1"/>
  <c r="S12" i="23" a="1"/>
  <c r="W14" i="23" a="1"/>
  <c r="U16" i="23" a="1"/>
  <c r="U19" i="23" a="1"/>
  <c r="U20" i="23" a="1"/>
  <c r="V15" i="23" a="1"/>
  <c r="X15" i="23" a="1"/>
  <c r="V20" i="23" a="1"/>
  <c r="V12" i="23" a="1"/>
  <c r="X14" i="23" a="1"/>
  <c r="X16" i="23" a="1"/>
  <c r="S16" i="30" a="1"/>
  <c r="T12" i="23" a="1"/>
  <c r="X11" i="23" a="1"/>
  <c r="V10" i="23" a="1"/>
  <c r="T17" i="23" a="1"/>
  <c r="W17" i="23" a="1"/>
  <c r="W19" i="23" a="1"/>
  <c r="X13" i="23" a="1"/>
  <c r="T15" i="23" a="1"/>
  <c r="X17" i="23" a="1"/>
  <c r="V16" i="30" a="1"/>
  <c r="V14" i="23" a="1"/>
  <c r="X16" i="30" a="1"/>
  <c r="W10" i="23" a="1"/>
  <c r="W20" i="23" a="1"/>
  <c r="T16" i="23" a="1"/>
  <c r="W16" i="23" a="1"/>
  <c r="X12" i="23" a="1"/>
  <c r="S10" i="23" a="1"/>
  <c r="S16" i="23" a="1"/>
  <c r="U10" i="23" a="1"/>
  <c r="T10" i="23" a="1"/>
  <c r="Z14" i="30" l="1"/>
  <c r="Z12" i="30"/>
  <c r="Z10" i="31"/>
  <c r="Z13" i="31"/>
  <c r="Z16" i="31"/>
  <c r="Z19" i="31"/>
  <c r="S16" i="30"/>
  <c r="H16" i="30" s="1"/>
  <c r="X16" i="30"/>
  <c r="W16" i="30"/>
  <c r="V16" i="30"/>
  <c r="U16" i="30"/>
  <c r="T16" i="30"/>
  <c r="Z11" i="30"/>
  <c r="Z18" i="30"/>
  <c r="Z13" i="30"/>
  <c r="S30" i="23"/>
  <c r="X20" i="23"/>
  <c r="X19" i="23"/>
  <c r="X18" i="23"/>
  <c r="X17" i="23"/>
  <c r="X16" i="23"/>
  <c r="X15" i="23"/>
  <c r="M15" i="23" s="1"/>
  <c r="X14" i="23"/>
  <c r="X13" i="23"/>
  <c r="X12" i="23"/>
  <c r="X11" i="23"/>
  <c r="W20" i="23"/>
  <c r="W19" i="23"/>
  <c r="W18" i="23"/>
  <c r="W17" i="23"/>
  <c r="W16" i="23"/>
  <c r="W15" i="23"/>
  <c r="W14" i="23"/>
  <c r="W13" i="23"/>
  <c r="W12" i="23"/>
  <c r="AG12" i="23" s="1"/>
  <c r="W11" i="23"/>
  <c r="V20" i="23"/>
  <c r="V19" i="23"/>
  <c r="V18" i="23"/>
  <c r="V17" i="23"/>
  <c r="V16" i="23"/>
  <c r="V15" i="23"/>
  <c r="V14" i="23"/>
  <c r="V13" i="23"/>
  <c r="V12" i="23"/>
  <c r="V11" i="23"/>
  <c r="U20" i="23"/>
  <c r="U19" i="23"/>
  <c r="U18" i="23"/>
  <c r="U17" i="23"/>
  <c r="U16" i="23"/>
  <c r="U15" i="23"/>
  <c r="U14" i="23"/>
  <c r="U13" i="23"/>
  <c r="U12" i="23"/>
  <c r="U11" i="23"/>
  <c r="T20" i="23"/>
  <c r="T19" i="23"/>
  <c r="T18" i="23"/>
  <c r="AD18" i="23" s="1"/>
  <c r="T17" i="23"/>
  <c r="T16" i="23"/>
  <c r="T15" i="23"/>
  <c r="T14" i="23"/>
  <c r="T13" i="23"/>
  <c r="T12" i="23"/>
  <c r="T11" i="23"/>
  <c r="S20" i="23"/>
  <c r="S19" i="23"/>
  <c r="S18" i="23"/>
  <c r="S17" i="23"/>
  <c r="S16" i="23"/>
  <c r="AC16" i="23" s="1"/>
  <c r="S15" i="23"/>
  <c r="S14" i="23"/>
  <c r="S13" i="23"/>
  <c r="S12" i="23"/>
  <c r="S11" i="23"/>
  <c r="X10" i="23"/>
  <c r="W10" i="23"/>
  <c r="V10" i="23"/>
  <c r="U10" i="23"/>
  <c r="T10" i="23"/>
  <c r="S10" i="23"/>
  <c r="Z13" i="29"/>
  <c r="Z10" i="29"/>
  <c r="Z18" i="29"/>
  <c r="Z12" i="29"/>
  <c r="A27" i="18"/>
  <c r="Z20" i="29"/>
  <c r="A28" i="18"/>
  <c r="Z11" i="28"/>
  <c r="Z14" i="28"/>
  <c r="Z20" i="28"/>
  <c r="Z13" i="28"/>
  <c r="Z10" i="28"/>
  <c r="T29" i="20"/>
  <c r="A29" i="20"/>
  <c r="Z11" i="27"/>
  <c r="Z14" i="27"/>
  <c r="O31" i="20"/>
  <c r="A31" i="20" s="1"/>
  <c r="Z13" i="27"/>
  <c r="Z10" i="27"/>
  <c r="S23" i="23"/>
  <c r="S24" i="23"/>
  <c r="A23" i="20"/>
  <c r="A30" i="20"/>
  <c r="T28" i="20"/>
  <c r="S10" i="27" a="1"/>
  <c r="U15" i="27" a="1"/>
  <c r="X16" i="27" a="1"/>
  <c r="T12" i="27" a="1"/>
  <c r="U11" i="27" a="1"/>
  <c r="V11" i="27" a="1"/>
  <c r="S11" i="27" a="1"/>
  <c r="V10" i="27" a="1"/>
  <c r="X19" i="27" a="1"/>
  <c r="W20" i="27" a="1"/>
  <c r="W14" i="27" a="1"/>
  <c r="X15" i="27" a="1"/>
  <c r="S16" i="27" a="1"/>
  <c r="T16" i="27" a="1"/>
  <c r="S13" i="27" a="1"/>
  <c r="V14" i="27" a="1"/>
  <c r="T18" i="27" a="1"/>
  <c r="W13" i="27" a="1"/>
  <c r="T20" i="27" a="1"/>
  <c r="T17" i="27" a="1"/>
  <c r="W11" i="27" a="1"/>
  <c r="U14" i="27" a="1"/>
  <c r="W17" i="27" a="1"/>
  <c r="W18" i="27" a="1"/>
  <c r="X11" i="27" a="1"/>
  <c r="S12" i="27" a="1"/>
  <c r="S14" i="27" a="1"/>
  <c r="W10" i="27" a="1"/>
  <c r="T10" i="27" a="1"/>
  <c r="S19" i="27" a="1"/>
  <c r="U13" i="27" a="1"/>
  <c r="X12" i="27" a="1"/>
  <c r="U20" i="27" a="1"/>
  <c r="U12" i="27" a="1"/>
  <c r="V17" i="27" a="1"/>
  <c r="X13" i="27" a="1"/>
  <c r="X18" i="27" a="1"/>
  <c r="V15" i="27" a="1"/>
  <c r="S28" i="23" a="1"/>
  <c r="T14" i="27" a="1"/>
  <c r="V12" i="27" a="1"/>
  <c r="X17" i="27" a="1"/>
  <c r="S15" i="27" a="1"/>
  <c r="X10" i="27" a="1"/>
  <c r="S29" i="23" a="1"/>
  <c r="V16" i="27" a="1"/>
  <c r="W19" i="27" a="1"/>
  <c r="X20" i="27" a="1"/>
  <c r="S17" i="27" a="1"/>
  <c r="U19" i="27" a="1"/>
  <c r="U17" i="27" a="1"/>
  <c r="U16" i="27" a="1"/>
  <c r="W15" i="27" a="1"/>
  <c r="U18" i="27" a="1"/>
  <c r="V13" i="27" a="1"/>
  <c r="T19" i="27" a="1"/>
  <c r="V19" i="27" a="1"/>
  <c r="S30" i="27" a="1"/>
  <c r="X14" i="27" a="1"/>
  <c r="T13" i="27" a="1"/>
  <c r="T11" i="27" a="1"/>
  <c r="V20" i="27" a="1"/>
  <c r="T15" i="27" a="1"/>
  <c r="U10" i="27" a="1"/>
  <c r="S18" i="27" a="1"/>
  <c r="W12" i="27" a="1"/>
  <c r="W16" i="27" a="1"/>
  <c r="V18" i="27" a="1"/>
  <c r="S20" i="27" a="1"/>
  <c r="I16" i="30" l="1"/>
  <c r="AD16" i="30"/>
  <c r="J16" i="30"/>
  <c r="AE16" i="30"/>
  <c r="AF16" i="30"/>
  <c r="K16" i="30"/>
  <c r="L16" i="30"/>
  <c r="AG16" i="30"/>
  <c r="M16" i="30"/>
  <c r="AH16" i="30"/>
  <c r="AI16" i="30" s="1"/>
  <c r="AC16" i="30"/>
  <c r="S29" i="23"/>
  <c r="S28" i="23"/>
  <c r="AC16" i="29"/>
  <c r="H16" i="29"/>
  <c r="K16" i="29"/>
  <c r="AF16" i="29"/>
  <c r="AG16" i="29"/>
  <c r="L16" i="29"/>
  <c r="AH16" i="29"/>
  <c r="M16" i="29"/>
  <c r="AD16" i="29"/>
  <c r="I16" i="29"/>
  <c r="AE16" i="29"/>
  <c r="J16" i="29"/>
  <c r="S30" i="27"/>
  <c r="W16" i="27"/>
  <c r="T11" i="27"/>
  <c r="U13" i="27"/>
  <c r="V15" i="27"/>
  <c r="W17" i="27"/>
  <c r="X19" i="27"/>
  <c r="T12" i="27"/>
  <c r="U14" i="27"/>
  <c r="V16" i="27"/>
  <c r="W18" i="27"/>
  <c r="X20" i="27"/>
  <c r="S11" i="27"/>
  <c r="T13" i="27"/>
  <c r="U15" i="27"/>
  <c r="V17" i="27"/>
  <c r="W19" i="27"/>
  <c r="U12" i="27"/>
  <c r="W20" i="27"/>
  <c r="S13" i="27"/>
  <c r="S20" i="27"/>
  <c r="V14" i="27"/>
  <c r="S12" i="27"/>
  <c r="T14" i="27"/>
  <c r="U16" i="27"/>
  <c r="V18" i="27"/>
  <c r="S14" i="27"/>
  <c r="T16" i="27"/>
  <c r="U18" i="27"/>
  <c r="V20" i="27"/>
  <c r="X12" i="27"/>
  <c r="T17" i="27"/>
  <c r="W12" i="27"/>
  <c r="S18" i="27"/>
  <c r="T20" i="27"/>
  <c r="V12" i="27"/>
  <c r="W14" i="27"/>
  <c r="X16" i="27"/>
  <c r="X18" i="27"/>
  <c r="T15" i="27"/>
  <c r="U17" i="27"/>
  <c r="V19" i="27"/>
  <c r="X11" i="27"/>
  <c r="S15" i="27"/>
  <c r="U19" i="27"/>
  <c r="W11" i="27"/>
  <c r="X13" i="27"/>
  <c r="S16" i="27"/>
  <c r="T18" i="27"/>
  <c r="U20" i="27"/>
  <c r="X14" i="27"/>
  <c r="S17" i="27"/>
  <c r="T19" i="27"/>
  <c r="V11" i="27"/>
  <c r="W13" i="27"/>
  <c r="X15" i="27"/>
  <c r="S19" i="27"/>
  <c r="U11" i="27"/>
  <c r="V13" i="27"/>
  <c r="W15" i="27"/>
  <c r="X17" i="27"/>
  <c r="AG16" i="23"/>
  <c r="AF15" i="23"/>
  <c r="AH19" i="23"/>
  <c r="AE14" i="23"/>
  <c r="AF16" i="23"/>
  <c r="AH20" i="23"/>
  <c r="AG19" i="23"/>
  <c r="AC20" i="23"/>
  <c r="AF14" i="23"/>
  <c r="AC12" i="23"/>
  <c r="AD14" i="23"/>
  <c r="AE16" i="23"/>
  <c r="AF18" i="23"/>
  <c r="AD16" i="23"/>
  <c r="AE18" i="23"/>
  <c r="AH12" i="23"/>
  <c r="AC18" i="23"/>
  <c r="AD20" i="23"/>
  <c r="AF12" i="23"/>
  <c r="AG14" i="23"/>
  <c r="AH16" i="23"/>
  <c r="AE20" i="23"/>
  <c r="AE11" i="23"/>
  <c r="X10" i="27"/>
  <c r="U10" i="27"/>
  <c r="V10" i="27"/>
  <c r="W10" i="27"/>
  <c r="AH10" i="23"/>
  <c r="AE10" i="23"/>
  <c r="AG10" i="23"/>
  <c r="T10" i="27"/>
  <c r="AD10" i="23"/>
  <c r="S10" i="27"/>
  <c r="AC10" i="23"/>
  <c r="T31" i="20"/>
  <c r="AE15" i="23"/>
  <c r="AD15" i="23"/>
  <c r="AF17" i="23"/>
  <c r="AC19" i="23"/>
  <c r="AE12" i="23"/>
  <c r="AH11" i="23"/>
  <c r="AD12" i="23"/>
  <c r="AC11" i="23"/>
  <c r="AD13" i="23"/>
  <c r="AE17" i="23"/>
  <c r="AG15" i="23"/>
  <c r="AC24" i="23"/>
  <c r="AC14" i="23"/>
  <c r="AF19" i="23"/>
  <c r="AG13" i="23"/>
  <c r="A23" i="23"/>
  <c r="AD11" i="23"/>
  <c r="AF10" i="23"/>
  <c r="AG11" i="23"/>
  <c r="AC15" i="23"/>
  <c r="AF20" i="23"/>
  <c r="AC13" i="23"/>
  <c r="AH14" i="23"/>
  <c r="AD19" i="23"/>
  <c r="AH13" i="23"/>
  <c r="AG18" i="23"/>
  <c r="AE13" i="23"/>
  <c r="AD17" i="23"/>
  <c r="AE19" i="23"/>
  <c r="AC30" i="23"/>
  <c r="AC17" i="23"/>
  <c r="AF11" i="23"/>
  <c r="AH17" i="23"/>
  <c r="AF13" i="23"/>
  <c r="AG17" i="23"/>
  <c r="AH18" i="23"/>
  <c r="AG20" i="23"/>
  <c r="A24" i="23"/>
  <c r="AC23" i="23"/>
  <c r="M14" i="23"/>
  <c r="AH15" i="23"/>
  <c r="A30" i="23"/>
  <c r="J12" i="23"/>
  <c r="M19" i="23"/>
  <c r="I11" i="23"/>
  <c r="M20" i="23"/>
  <c r="H11" i="23"/>
  <c r="J15" i="23"/>
  <c r="L19" i="23"/>
  <c r="H12" i="23"/>
  <c r="I14" i="23"/>
  <c r="J13" i="23"/>
  <c r="L20" i="23"/>
  <c r="H14" i="23"/>
  <c r="I15" i="23"/>
  <c r="J16" i="23"/>
  <c r="K19" i="23"/>
  <c r="M11" i="23"/>
  <c r="H15" i="23"/>
  <c r="I13" i="23"/>
  <c r="J17" i="23"/>
  <c r="K20" i="23"/>
  <c r="M12" i="23"/>
  <c r="H13" i="23"/>
  <c r="I16" i="23"/>
  <c r="J18" i="23"/>
  <c r="L18" i="23"/>
  <c r="I18" i="23"/>
  <c r="L16" i="23"/>
  <c r="K13" i="23"/>
  <c r="K16" i="23"/>
  <c r="K18" i="23"/>
  <c r="I17" i="23"/>
  <c r="L11" i="23"/>
  <c r="H17" i="23"/>
  <c r="I19" i="23"/>
  <c r="K17" i="23"/>
  <c r="L12" i="23"/>
  <c r="M13" i="23"/>
  <c r="K15" i="23"/>
  <c r="J14" i="23"/>
  <c r="L17" i="23"/>
  <c r="I12" i="23"/>
  <c r="H16" i="23"/>
  <c r="J19" i="23"/>
  <c r="H18" i="23"/>
  <c r="I20" i="23"/>
  <c r="K11" i="23"/>
  <c r="L14" i="23"/>
  <c r="M16" i="23"/>
  <c r="H19" i="23"/>
  <c r="J20" i="23"/>
  <c r="K12" i="23"/>
  <c r="L15" i="23"/>
  <c r="M17" i="23"/>
  <c r="H20" i="23"/>
  <c r="J11" i="23"/>
  <c r="K14" i="23"/>
  <c r="L13" i="23"/>
  <c r="M18" i="23"/>
  <c r="L10" i="23"/>
  <c r="M10" i="23"/>
  <c r="I10" i="23"/>
  <c r="H10" i="23"/>
  <c r="J10" i="23"/>
  <c r="K10" i="23"/>
  <c r="T15" i="28" a="1"/>
  <c r="V15" i="28" a="1"/>
  <c r="V14" i="28" a="1"/>
  <c r="W11" i="28" a="1"/>
  <c r="S16" i="28" a="1"/>
  <c r="S28" i="27" a="1"/>
  <c r="T19" i="28" a="1"/>
  <c r="S12" i="28" a="1"/>
  <c r="S18" i="28" a="1"/>
  <c r="T17" i="28" a="1"/>
  <c r="U18" i="28" a="1"/>
  <c r="V20" i="28" a="1"/>
  <c r="X18" i="28" a="1"/>
  <c r="W16" i="28" a="1"/>
  <c r="U20" i="28" a="1"/>
  <c r="T14" i="28" a="1"/>
  <c r="X16" i="28" a="1"/>
  <c r="S31" i="23" a="1"/>
  <c r="T12" i="28" a="1"/>
  <c r="S20" i="28" a="1"/>
  <c r="W15" i="28" a="1"/>
  <c r="X13" i="28" a="1"/>
  <c r="V17" i="28" a="1"/>
  <c r="X15" i="28" a="1"/>
  <c r="U11" i="28" a="1"/>
  <c r="S19" i="28" a="1"/>
  <c r="T11" i="28" a="1"/>
  <c r="U17" i="28" a="1"/>
  <c r="V10" i="28" a="1"/>
  <c r="S13" i="28" a="1"/>
  <c r="W10" i="28" a="1"/>
  <c r="U19" i="28" a="1"/>
  <c r="X17" i="28" a="1"/>
  <c r="U15" i="28" a="1"/>
  <c r="U10" i="28" a="1"/>
  <c r="X19" i="28" a="1"/>
  <c r="W18" i="28" a="1"/>
  <c r="S15" i="28" a="1"/>
  <c r="T10" i="28" a="1"/>
  <c r="U16" i="28" a="1"/>
  <c r="T18" i="28" a="1"/>
  <c r="U14" i="28" a="1"/>
  <c r="W13" i="28" a="1"/>
  <c r="X20" i="28" a="1"/>
  <c r="X14" i="28" a="1"/>
  <c r="T16" i="28" a="1"/>
  <c r="X11" i="28" a="1"/>
  <c r="W14" i="28" a="1"/>
  <c r="V19" i="28" a="1"/>
  <c r="T13" i="28" a="1"/>
  <c r="X12" i="28" a="1"/>
  <c r="W17" i="28" a="1"/>
  <c r="X10" i="28" a="1"/>
  <c r="S30" i="28" a="1"/>
  <c r="S29" i="27" a="1"/>
  <c r="V12" i="28" a="1"/>
  <c r="W20" i="28" a="1"/>
  <c r="V13" i="28" a="1"/>
  <c r="U12" i="28" a="1"/>
  <c r="W19" i="28" a="1"/>
  <c r="S11" i="28" a="1"/>
  <c r="W12" i="28" a="1"/>
  <c r="V18" i="28" a="1"/>
  <c r="V11" i="28" a="1"/>
  <c r="U13" i="28" a="1"/>
  <c r="S10" i="28" a="1"/>
  <c r="V16" i="28" a="1"/>
  <c r="T20" i="28" a="1"/>
  <c r="S17" i="28" a="1"/>
  <c r="S14" i="28" a="1"/>
  <c r="S28" i="27" l="1"/>
  <c r="S31" i="23"/>
  <c r="A31" i="23" s="1"/>
  <c r="S29" i="27"/>
  <c r="S30" i="28"/>
  <c r="S11" i="28"/>
  <c r="V13" i="28"/>
  <c r="S19" i="28"/>
  <c r="U19" i="28"/>
  <c r="W12" i="28"/>
  <c r="S20" i="28"/>
  <c r="U14" i="28"/>
  <c r="X15" i="28"/>
  <c r="S15" i="28"/>
  <c r="T17" i="28"/>
  <c r="S13" i="28"/>
  <c r="T12" i="28"/>
  <c r="W13" i="28"/>
  <c r="X11" i="28"/>
  <c r="X12" i="28"/>
  <c r="W20" i="28"/>
  <c r="X19" i="28"/>
  <c r="V11" i="28"/>
  <c r="V19" i="28"/>
  <c r="V20" i="28"/>
  <c r="U12" i="28"/>
  <c r="W17" i="28"/>
  <c r="V18" i="28"/>
  <c r="T19" i="28"/>
  <c r="U17" i="28"/>
  <c r="U18" i="28"/>
  <c r="W19" i="28"/>
  <c r="V15" i="28"/>
  <c r="S17" i="28"/>
  <c r="T15" i="28"/>
  <c r="T16" i="28"/>
  <c r="V17" i="28"/>
  <c r="U13" i="28"/>
  <c r="X14" i="28"/>
  <c r="X18" i="28"/>
  <c r="S14" i="28"/>
  <c r="U15" i="28"/>
  <c r="T11" i="28"/>
  <c r="T13" i="28"/>
  <c r="W16" i="28"/>
  <c r="X17" i="28"/>
  <c r="X16" i="28"/>
  <c r="U20" i="28"/>
  <c r="T18" i="28"/>
  <c r="W14" i="28"/>
  <c r="U16" i="28"/>
  <c r="W15" i="28"/>
  <c r="S16" i="28"/>
  <c r="V12" i="28"/>
  <c r="T14" i="28"/>
  <c r="X20" i="28"/>
  <c r="X13" i="28"/>
  <c r="T20" i="28"/>
  <c r="S12" i="28"/>
  <c r="W18" i="28"/>
  <c r="U11" i="28"/>
  <c r="W11" i="28"/>
  <c r="S18" i="28"/>
  <c r="V14" i="28"/>
  <c r="V16" i="28"/>
  <c r="U10" i="28"/>
  <c r="X10" i="28"/>
  <c r="T10" i="28"/>
  <c r="W10" i="28"/>
  <c r="V10" i="28"/>
  <c r="S10" i="28"/>
  <c r="AC28" i="23"/>
  <c r="AC29" i="23"/>
  <c r="A29" i="23"/>
  <c r="A28" i="23"/>
  <c r="U19" i="29" a="1"/>
  <c r="V20" i="29" a="1"/>
  <c r="U11" i="29" a="1"/>
  <c r="T17" i="29" a="1"/>
  <c r="V18" i="29" a="1"/>
  <c r="X17" i="29" a="1"/>
  <c r="U12" i="29" a="1"/>
  <c r="U20" i="29" a="1"/>
  <c r="X21" i="29" a="1"/>
  <c r="W10" i="29" a="1"/>
  <c r="V12" i="29" a="1"/>
  <c r="T12" i="29" a="1"/>
  <c r="X18" i="29" a="1"/>
  <c r="U10" i="29" a="1"/>
  <c r="X13" i="29" a="1"/>
  <c r="U13" i="29" a="1"/>
  <c r="X12" i="29" a="1"/>
  <c r="V13" i="29" a="1"/>
  <c r="X19" i="29" a="1"/>
  <c r="U21" i="29" a="1"/>
  <c r="S29" i="28" a="1"/>
  <c r="U17" i="29" a="1"/>
  <c r="T10" i="29" a="1"/>
  <c r="V11" i="29" a="1"/>
  <c r="S14" i="29" a="1"/>
  <c r="S11" i="29" a="1"/>
  <c r="W20" i="29" a="1"/>
  <c r="S13" i="29" a="1"/>
  <c r="W15" i="29" a="1"/>
  <c r="V14" i="29" a="1"/>
  <c r="S17" i="29" a="1"/>
  <c r="S18" i="29" a="1"/>
  <c r="W13" i="29" a="1"/>
  <c r="W18" i="29" a="1"/>
  <c r="W17" i="29" a="1"/>
  <c r="V19" i="29" a="1"/>
  <c r="V21" i="29" a="1"/>
  <c r="T20" i="29" a="1"/>
  <c r="X20" i="29" a="1"/>
  <c r="X10" i="29" a="1"/>
  <c r="U18" i="29" a="1"/>
  <c r="S15" i="29" a="1"/>
  <c r="W19" i="29" a="1"/>
  <c r="T14" i="29" a="1"/>
  <c r="X11" i="29" a="1"/>
  <c r="T21" i="29" a="1"/>
  <c r="T11" i="29" a="1"/>
  <c r="W12" i="29" a="1"/>
  <c r="S21" i="29" a="1"/>
  <c r="S10" i="29" a="1"/>
  <c r="S31" i="29" a="1"/>
  <c r="S12" i="29" a="1"/>
  <c r="X14" i="29" a="1"/>
  <c r="W14" i="29" a="1"/>
  <c r="S28" i="28" a="1"/>
  <c r="W21" i="29" a="1"/>
  <c r="T18" i="29" a="1"/>
  <c r="X15" i="29" a="1"/>
  <c r="T13" i="29" a="1"/>
  <c r="U14" i="29" a="1"/>
  <c r="T19" i="29" a="1"/>
  <c r="V17" i="29" a="1"/>
  <c r="V15" i="29" a="1"/>
  <c r="S20" i="29" a="1"/>
  <c r="V10" i="29" a="1"/>
  <c r="W11" i="29" a="1"/>
  <c r="T15" i="29" a="1"/>
  <c r="S19" i="29" a="1"/>
  <c r="U15" i="29" a="1"/>
  <c r="S31" i="27" a="1"/>
  <c r="S29" i="28" l="1"/>
  <c r="S31" i="27"/>
  <c r="S28" i="28"/>
  <c r="S31" i="29"/>
  <c r="T11" i="29"/>
  <c r="X11" i="29"/>
  <c r="V12" i="29"/>
  <c r="S11" i="29"/>
  <c r="V17" i="29"/>
  <c r="X19" i="29"/>
  <c r="W11" i="29"/>
  <c r="W14" i="29"/>
  <c r="U13" i="29"/>
  <c r="U12" i="29"/>
  <c r="S15" i="29"/>
  <c r="U11" i="29"/>
  <c r="V18" i="29"/>
  <c r="X15" i="29"/>
  <c r="U19" i="29"/>
  <c r="U18" i="29"/>
  <c r="S14" i="29"/>
  <c r="T20" i="29"/>
  <c r="V14" i="29"/>
  <c r="W15" i="29"/>
  <c r="V19" i="29"/>
  <c r="S13" i="29"/>
  <c r="S19" i="29"/>
  <c r="U17" i="29"/>
  <c r="X14" i="29"/>
  <c r="W18" i="29"/>
  <c r="T18" i="29"/>
  <c r="U21" i="29"/>
  <c r="T17" i="29"/>
  <c r="V20" i="29"/>
  <c r="U14" i="29"/>
  <c r="S12" i="29"/>
  <c r="X17" i="29"/>
  <c r="T15" i="29"/>
  <c r="V11" i="29"/>
  <c r="T21" i="29"/>
  <c r="X20" i="29"/>
  <c r="X13" i="29"/>
  <c r="V15" i="29"/>
  <c r="W21" i="29"/>
  <c r="U20" i="29"/>
  <c r="T14" i="29"/>
  <c r="V13" i="29"/>
  <c r="U15" i="29"/>
  <c r="W13" i="29"/>
  <c r="S17" i="29"/>
  <c r="T12" i="29"/>
  <c r="T19" i="29"/>
  <c r="V21" i="29"/>
  <c r="W19" i="29"/>
  <c r="S21" i="29"/>
  <c r="X18" i="29"/>
  <c r="S18" i="29"/>
  <c r="W12" i="29"/>
  <c r="W17" i="29"/>
  <c r="X21" i="29"/>
  <c r="T13" i="29"/>
  <c r="W20" i="29"/>
  <c r="X12" i="29"/>
  <c r="S20" i="29"/>
  <c r="V10" i="29"/>
  <c r="W10" i="29"/>
  <c r="T10" i="29"/>
  <c r="X10" i="29"/>
  <c r="U10" i="29"/>
  <c r="S10" i="29"/>
  <c r="AC31" i="23"/>
  <c r="AE10" i="27"/>
  <c r="V13" i="30" a="1"/>
  <c r="W20" i="30" a="1"/>
  <c r="S31" i="28" a="1"/>
  <c r="S29" i="29" a="1"/>
  <c r="T10" i="30" a="1"/>
  <c r="T12" i="30" a="1"/>
  <c r="X21" i="30" a="1"/>
  <c r="V11" i="30" a="1"/>
  <c r="V12" i="30" a="1"/>
  <c r="U19" i="30" a="1"/>
  <c r="X17" i="30" a="1"/>
  <c r="X13" i="30" a="1"/>
  <c r="T13" i="30" a="1"/>
  <c r="S31" i="30" a="1"/>
  <c r="S10" i="30" a="1"/>
  <c r="T17" i="30" a="1"/>
  <c r="W12" i="30" a="1"/>
  <c r="S18" i="30" a="1"/>
  <c r="S17" i="30" a="1"/>
  <c r="X10" i="30" a="1"/>
  <c r="X20" i="30" a="1"/>
  <c r="W13" i="30" a="1"/>
  <c r="V10" i="30" a="1"/>
  <c r="T21" i="30" a="1"/>
  <c r="V18" i="30" a="1"/>
  <c r="W10" i="30" a="1"/>
  <c r="V17" i="30" a="1"/>
  <c r="U18" i="30" a="1"/>
  <c r="U13" i="30" a="1"/>
  <c r="S20" i="30" a="1"/>
  <c r="T15" i="30" a="1"/>
  <c r="S30" i="29" a="1"/>
  <c r="W15" i="30" a="1"/>
  <c r="W19" i="30" a="1"/>
  <c r="T11" i="30" a="1"/>
  <c r="T14" i="30" a="1"/>
  <c r="U20" i="30" a="1"/>
  <c r="V21" i="30" a="1"/>
  <c r="X19" i="30" a="1"/>
  <c r="X18" i="30" a="1"/>
  <c r="S19" i="30" a="1"/>
  <c r="U11" i="30" a="1"/>
  <c r="W17" i="30" a="1"/>
  <c r="T20" i="30" a="1"/>
  <c r="W18" i="30" a="1"/>
  <c r="T19" i="30" a="1"/>
  <c r="S15" i="30" a="1"/>
  <c r="V19" i="30" a="1"/>
  <c r="S21" i="30" a="1"/>
  <c r="V20" i="30" a="1"/>
  <c r="U10" i="30" a="1"/>
  <c r="S12" i="30" a="1"/>
  <c r="W14" i="30" a="1"/>
  <c r="V15" i="30" a="1"/>
  <c r="X15" i="30" a="1"/>
  <c r="W11" i="30" a="1"/>
  <c r="U17" i="30" a="1"/>
  <c r="U21" i="30" a="1"/>
  <c r="U15" i="30" a="1"/>
  <c r="U12" i="30" a="1"/>
  <c r="U14" i="30" a="1"/>
  <c r="S14" i="30" a="1"/>
  <c r="W21" i="30" a="1"/>
  <c r="S11" i="30" a="1"/>
  <c r="V14" i="30" a="1"/>
  <c r="T18" i="30" a="1"/>
  <c r="S13" i="30" a="1"/>
  <c r="S13" i="30" l="1"/>
  <c r="S31" i="30"/>
  <c r="S31" i="31" s="1"/>
  <c r="W14" i="30"/>
  <c r="L14" i="30" s="1"/>
  <c r="T11" i="30"/>
  <c r="I11" i="30" s="1"/>
  <c r="S12" i="30"/>
  <c r="W20" i="30"/>
  <c r="T15" i="30"/>
  <c r="V20" i="30"/>
  <c r="U17" i="30"/>
  <c r="U11" i="30"/>
  <c r="J11" i="30" s="1"/>
  <c r="S17" i="30"/>
  <c r="H17" i="30" s="1"/>
  <c r="T12" i="30"/>
  <c r="I12" i="30" s="1"/>
  <c r="X21" i="30"/>
  <c r="X20" i="30"/>
  <c r="V18" i="30"/>
  <c r="T19" i="30"/>
  <c r="W12" i="30"/>
  <c r="L12" i="30" s="1"/>
  <c r="S19" i="30"/>
  <c r="H19" i="30" s="1"/>
  <c r="T13" i="30"/>
  <c r="W13" i="30"/>
  <c r="X17" i="30"/>
  <c r="V19" i="30"/>
  <c r="U13" i="30"/>
  <c r="U15" i="30"/>
  <c r="W15" i="30"/>
  <c r="V14" i="30"/>
  <c r="K14" i="30" s="1"/>
  <c r="W17" i="30"/>
  <c r="T14" i="30"/>
  <c r="I14" i="30" s="1"/>
  <c r="U14" i="30"/>
  <c r="J14" i="30" s="1"/>
  <c r="V12" i="30"/>
  <c r="K12" i="30" s="1"/>
  <c r="T20" i="30"/>
  <c r="U20" i="30"/>
  <c r="T17" i="30"/>
  <c r="V17" i="30"/>
  <c r="X18" i="30"/>
  <c r="W21" i="30"/>
  <c r="U21" i="30"/>
  <c r="U18" i="30"/>
  <c r="V15" i="30"/>
  <c r="T18" i="30"/>
  <c r="U19" i="30"/>
  <c r="U12" i="30"/>
  <c r="J12" i="30" s="1"/>
  <c r="V21" i="30"/>
  <c r="S11" i="30"/>
  <c r="H11" i="30" s="1"/>
  <c r="S20" i="30"/>
  <c r="H20" i="30" s="1"/>
  <c r="T21" i="30"/>
  <c r="S15" i="30"/>
  <c r="H15" i="30" s="1"/>
  <c r="V13" i="30"/>
  <c r="V11" i="30"/>
  <c r="K11" i="30" s="1"/>
  <c r="S14" i="30"/>
  <c r="X19" i="30"/>
  <c r="S18" i="30"/>
  <c r="H18" i="30" s="1"/>
  <c r="S21" i="30"/>
  <c r="H21" i="30" s="1"/>
  <c r="W19" i="30"/>
  <c r="X13" i="30"/>
  <c r="W18" i="30"/>
  <c r="X15" i="30"/>
  <c r="W11" i="30"/>
  <c r="L11" i="30" s="1"/>
  <c r="U10" i="30"/>
  <c r="X10" i="30"/>
  <c r="T10" i="30"/>
  <c r="W10" i="30"/>
  <c r="V10" i="30"/>
  <c r="S10" i="30"/>
  <c r="S30" i="29"/>
  <c r="S29" i="29"/>
  <c r="S31" i="28"/>
  <c r="J10" i="27"/>
  <c r="S29" i="30" a="1"/>
  <c r="S32" i="29" a="1"/>
  <c r="S30" i="30" a="1"/>
  <c r="H14" i="30" l="1"/>
  <c r="H12" i="30"/>
  <c r="AC13" i="30"/>
  <c r="H13" i="30"/>
  <c r="J20" i="30"/>
  <c r="AD20" i="30"/>
  <c r="AH15" i="30"/>
  <c r="AC15" i="30"/>
  <c r="AH21" i="30"/>
  <c r="I21" i="30"/>
  <c r="AC20" i="30"/>
  <c r="AG19" i="30"/>
  <c r="H10" i="30"/>
  <c r="AE12" i="30"/>
  <c r="AF20" i="30"/>
  <c r="K10" i="30"/>
  <c r="AE19" i="30"/>
  <c r="AD15" i="30"/>
  <c r="AG10" i="30"/>
  <c r="I18" i="30"/>
  <c r="AD14" i="30"/>
  <c r="L20" i="30"/>
  <c r="AD10" i="30"/>
  <c r="AH19" i="30"/>
  <c r="K15" i="30"/>
  <c r="AG17" i="30"/>
  <c r="AG12" i="30"/>
  <c r="AC12" i="30"/>
  <c r="AD12" i="30"/>
  <c r="L18" i="30"/>
  <c r="AC11" i="30"/>
  <c r="AE11" i="30"/>
  <c r="AD13" i="30"/>
  <c r="AE14" i="30"/>
  <c r="AE10" i="30"/>
  <c r="AE15" i="30"/>
  <c r="AF17" i="30"/>
  <c r="K19" i="30"/>
  <c r="AF12" i="30"/>
  <c r="AH10" i="30"/>
  <c r="AC14" i="30"/>
  <c r="AE18" i="30"/>
  <c r="AF14" i="30"/>
  <c r="AD19" i="30"/>
  <c r="AD11" i="30"/>
  <c r="J21" i="30"/>
  <c r="L15" i="30"/>
  <c r="AF18" i="30"/>
  <c r="AG14" i="30"/>
  <c r="K13" i="30"/>
  <c r="L21" i="30"/>
  <c r="M20" i="30"/>
  <c r="A31" i="30"/>
  <c r="AH18" i="30"/>
  <c r="AE13" i="30"/>
  <c r="AH13" i="30"/>
  <c r="I17" i="30"/>
  <c r="M17" i="30"/>
  <c r="AC21" i="30"/>
  <c r="AF21" i="30"/>
  <c r="L13" i="30"/>
  <c r="J17" i="30"/>
  <c r="S30" i="30"/>
  <c r="S30" i="31" s="1"/>
  <c r="S29" i="30"/>
  <c r="S29" i="31" s="1"/>
  <c r="I20" i="30"/>
  <c r="I10" i="30"/>
  <c r="J19" i="30"/>
  <c r="K20" i="30"/>
  <c r="AF13" i="30"/>
  <c r="AG20" i="30"/>
  <c r="I19" i="30"/>
  <c r="AG15" i="30"/>
  <c r="AD21" i="30"/>
  <c r="M18" i="30"/>
  <c r="AH17" i="30"/>
  <c r="M15" i="30"/>
  <c r="AC31" i="30"/>
  <c r="AD18" i="30"/>
  <c r="L10" i="30"/>
  <c r="I15" i="30"/>
  <c r="AF19" i="30"/>
  <c r="AC17" i="30"/>
  <c r="AF10" i="30"/>
  <c r="M13" i="30"/>
  <c r="J10" i="30"/>
  <c r="M19" i="30"/>
  <c r="L17" i="30"/>
  <c r="K21" i="30"/>
  <c r="K18" i="30"/>
  <c r="AE21" i="30"/>
  <c r="J13" i="30"/>
  <c r="K17" i="30"/>
  <c r="AC18" i="30"/>
  <c r="M10" i="30"/>
  <c r="AG11" i="30"/>
  <c r="AG18" i="30"/>
  <c r="AG13" i="30"/>
  <c r="AE20" i="30"/>
  <c r="L19" i="30"/>
  <c r="AG21" i="30"/>
  <c r="AC19" i="30"/>
  <c r="AD17" i="30"/>
  <c r="AF11" i="30"/>
  <c r="I13" i="30"/>
  <c r="AH20" i="30"/>
  <c r="J15" i="30"/>
  <c r="AC10" i="30"/>
  <c r="J18" i="30"/>
  <c r="AF15" i="30"/>
  <c r="M21" i="30"/>
  <c r="AE17" i="30"/>
  <c r="S32" i="29"/>
  <c r="AE10" i="29"/>
  <c r="J13" i="27"/>
  <c r="AE10" i="28"/>
  <c r="J10" i="28"/>
  <c r="AE13" i="27"/>
  <c r="S32" i="30" a="1"/>
  <c r="A30" i="30" l="1"/>
  <c r="A29" i="30"/>
  <c r="S32" i="30"/>
  <c r="AC29" i="30"/>
  <c r="AC30" i="30"/>
  <c r="AE13" i="29"/>
  <c r="J10" i="29"/>
  <c r="L12" i="27"/>
  <c r="AE13" i="28"/>
  <c r="J13" i="28"/>
  <c r="AG12" i="27"/>
  <c r="S32" i="31" l="1"/>
  <c r="AC32" i="30"/>
  <c r="A32" i="30"/>
  <c r="AG12" i="29"/>
  <c r="J13" i="29"/>
  <c r="K18" i="27"/>
  <c r="L12" i="28"/>
  <c r="AG12" i="28"/>
  <c r="AF18" i="27"/>
  <c r="L12" i="29" l="1"/>
  <c r="AF19" i="29"/>
  <c r="H13" i="27"/>
  <c r="AF18" i="28"/>
  <c r="K18" i="28"/>
  <c r="AC13" i="27"/>
  <c r="K19" i="29" l="1"/>
  <c r="AC13" i="29"/>
  <c r="AC28" i="27"/>
  <c r="AC13" i="28"/>
  <c r="H13" i="28"/>
  <c r="A28" i="27"/>
  <c r="H13" i="29" l="1"/>
  <c r="A29" i="29"/>
  <c r="AC31" i="27"/>
  <c r="A28" i="28"/>
  <c r="AC28" i="28"/>
  <c r="A31" i="27"/>
  <c r="AC29" i="29" l="1"/>
  <c r="AC32" i="29"/>
  <c r="I10" i="27"/>
  <c r="AC31" i="28"/>
  <c r="A31" i="28"/>
  <c r="AD10" i="27"/>
  <c r="AI32" i="30" l="1"/>
  <c r="AI29" i="30"/>
  <c r="A32" i="29"/>
  <c r="AD10" i="29"/>
  <c r="I10" i="28"/>
  <c r="AD10" i="28"/>
  <c r="I14" i="27"/>
  <c r="AD14" i="27"/>
  <c r="I10" i="29" l="1"/>
  <c r="AD14" i="29"/>
  <c r="AD14" i="28"/>
  <c r="I14" i="28"/>
  <c r="AG10" i="27"/>
  <c r="L10" i="27"/>
  <c r="I14" i="29" l="1"/>
  <c r="AG10" i="29"/>
  <c r="AH10" i="27"/>
  <c r="M10" i="27"/>
  <c r="L10" i="28"/>
  <c r="AG10" i="28"/>
  <c r="L10" i="29" l="1"/>
  <c r="M10" i="29"/>
  <c r="H18" i="27"/>
  <c r="M10" i="28"/>
  <c r="AH10" i="28"/>
  <c r="AC18" i="27"/>
  <c r="AH19" i="27"/>
  <c r="AH10" i="29" l="1"/>
  <c r="AC19" i="29"/>
  <c r="M19" i="27"/>
  <c r="AC18" i="28"/>
  <c r="H18" i="28"/>
  <c r="AI10" i="30" l="1"/>
  <c r="H19" i="29"/>
  <c r="M20" i="29"/>
  <c r="J11" i="27"/>
  <c r="AH19" i="28"/>
  <c r="M19" i="28"/>
  <c r="AE11" i="27"/>
  <c r="AH20" i="29" l="1"/>
  <c r="AE11" i="29"/>
  <c r="K14" i="27"/>
  <c r="AE11" i="28"/>
  <c r="J11" i="28"/>
  <c r="AF14" i="27"/>
  <c r="AI20" i="30" l="1"/>
  <c r="J11" i="29"/>
  <c r="AF14" i="29"/>
  <c r="H10" i="27"/>
  <c r="AC10" i="27"/>
  <c r="AF14" i="28"/>
  <c r="K14" i="28"/>
  <c r="AC17" i="27"/>
  <c r="K14" i="29" l="1"/>
  <c r="H10" i="29"/>
  <c r="H17" i="27"/>
  <c r="AC10" i="28"/>
  <c r="H10" i="28"/>
  <c r="AC10" i="29" l="1"/>
  <c r="H18" i="29"/>
  <c r="AC29" i="27"/>
  <c r="AC17" i="28"/>
  <c r="H17" i="28"/>
  <c r="A29" i="27"/>
  <c r="AC18" i="29" l="1"/>
  <c r="AC30" i="29"/>
  <c r="M12" i="27"/>
  <c r="AC29" i="28"/>
  <c r="A29" i="28"/>
  <c r="AH12" i="27"/>
  <c r="AI30" i="30" l="1"/>
  <c r="A30" i="29"/>
  <c r="AH12" i="29"/>
  <c r="AG11" i="27"/>
  <c r="L11" i="27"/>
  <c r="AH12" i="28"/>
  <c r="M12" i="28"/>
  <c r="AD13" i="27"/>
  <c r="AI12" i="30" l="1"/>
  <c r="M12" i="29"/>
  <c r="AG11" i="29"/>
  <c r="I13" i="27"/>
  <c r="AG11" i="28"/>
  <c r="L11" i="28"/>
  <c r="L11" i="29" l="1"/>
  <c r="I13" i="29"/>
  <c r="I13" i="28"/>
  <c r="AD13" i="28"/>
  <c r="H20" i="27"/>
  <c r="AC20" i="27"/>
  <c r="AD13" i="29" l="1"/>
  <c r="AC21" i="29"/>
  <c r="AC20" i="28"/>
  <c r="H20" i="28"/>
  <c r="AD18" i="27"/>
  <c r="I18" i="27"/>
  <c r="H21" i="29" l="1"/>
  <c r="AD19" i="29"/>
  <c r="J14" i="27"/>
  <c r="I18" i="28"/>
  <c r="AD18" i="28"/>
  <c r="AE14" i="27"/>
  <c r="I19" i="29" l="1"/>
  <c r="AE14" i="29"/>
  <c r="AF11" i="27"/>
  <c r="AE14" i="28"/>
  <c r="J14" i="28"/>
  <c r="K11" i="27"/>
  <c r="J14" i="29" l="1"/>
  <c r="AF11" i="29"/>
  <c r="AE16" i="27"/>
  <c r="J16" i="27"/>
  <c r="AF11" i="28"/>
  <c r="K11" i="28"/>
  <c r="K11" i="29" l="1"/>
  <c r="AE17" i="29"/>
  <c r="K13" i="27"/>
  <c r="AF13" i="27"/>
  <c r="AE16" i="28"/>
  <c r="J16" i="28"/>
  <c r="J17" i="29" l="1"/>
  <c r="K13" i="29"/>
  <c r="AG14" i="27"/>
  <c r="AF13" i="28"/>
  <c r="K13" i="28"/>
  <c r="L14" i="27"/>
  <c r="AF13" i="29" l="1"/>
  <c r="AG14" i="29"/>
  <c r="M11" i="27"/>
  <c r="L14" i="28"/>
  <c r="AG14" i="28"/>
  <c r="AH11" i="27"/>
  <c r="L14" i="29" l="1"/>
  <c r="AH11" i="29"/>
  <c r="K15" i="27"/>
  <c r="AH11" i="28"/>
  <c r="M11" i="28"/>
  <c r="AF15" i="27"/>
  <c r="AI11" i="30" l="1"/>
  <c r="M11" i="29"/>
  <c r="AF15" i="29"/>
  <c r="J18" i="27"/>
  <c r="AF15" i="28"/>
  <c r="K15" i="28"/>
  <c r="AE18" i="27"/>
  <c r="K15" i="29" l="1"/>
  <c r="J19" i="29"/>
  <c r="AC19" i="27"/>
  <c r="H19" i="27"/>
  <c r="AE18" i="28"/>
  <c r="J18" i="28"/>
  <c r="AE19" i="29" l="1"/>
  <c r="H20" i="29"/>
  <c r="AD17" i="27"/>
  <c r="H19" i="28"/>
  <c r="AC19" i="28"/>
  <c r="I17" i="27"/>
  <c r="AC20" i="29" l="1"/>
  <c r="AD18" i="29"/>
  <c r="L13" i="27"/>
  <c r="AD17" i="28"/>
  <c r="I17" i="28"/>
  <c r="AG13" i="27"/>
  <c r="AG13" i="29" l="1"/>
  <c r="I18" i="29"/>
  <c r="M14" i="27"/>
  <c r="L13" i="28"/>
  <c r="AG13" i="28"/>
  <c r="AH14" i="27"/>
  <c r="AH14" i="29" l="1"/>
  <c r="L13" i="29"/>
  <c r="H11" i="27"/>
  <c r="M14" i="28"/>
  <c r="AH14" i="28"/>
  <c r="AC11" i="27"/>
  <c r="AI14" i="30" l="1"/>
  <c r="AC11" i="29"/>
  <c r="M14" i="29"/>
  <c r="L15" i="27"/>
  <c r="AC11" i="28"/>
  <c r="H11" i="28"/>
  <c r="AG15" i="27"/>
  <c r="AG15" i="29" l="1"/>
  <c r="H11" i="29"/>
  <c r="AF16" i="27"/>
  <c r="AG15" i="28"/>
  <c r="L15" i="28"/>
  <c r="K16" i="27"/>
  <c r="AG18" i="27"/>
  <c r="AF17" i="29" l="1"/>
  <c r="L15" i="29"/>
  <c r="L18" i="27"/>
  <c r="AF16" i="28"/>
  <c r="K16" i="28"/>
  <c r="AG19" i="29" l="1"/>
  <c r="K17" i="29"/>
  <c r="I20" i="27"/>
  <c r="AG18" i="28"/>
  <c r="L18" i="28"/>
  <c r="AD20" i="27"/>
  <c r="AD21" i="29" l="1"/>
  <c r="L19" i="29"/>
  <c r="K10" i="27"/>
  <c r="AD20" i="28"/>
  <c r="I20" i="28"/>
  <c r="AF10" i="27"/>
  <c r="K10" i="29" l="1"/>
  <c r="I21" i="29"/>
  <c r="AF12" i="27"/>
  <c r="AF10" i="28"/>
  <c r="K10" i="28"/>
  <c r="K12" i="27"/>
  <c r="AF12" i="29" l="1"/>
  <c r="AF10" i="29"/>
  <c r="AE15" i="27"/>
  <c r="AF12" i="28"/>
  <c r="K12" i="28"/>
  <c r="J15" i="27"/>
  <c r="AE15" i="29" l="1"/>
  <c r="K12" i="29"/>
  <c r="I16" i="27"/>
  <c r="AE15" i="28"/>
  <c r="J15" i="28"/>
  <c r="AD16" i="27"/>
  <c r="AD17" i="29" l="1"/>
  <c r="J15" i="29"/>
  <c r="M20" i="27"/>
  <c r="AD16" i="28"/>
  <c r="I16" i="28"/>
  <c r="AH20" i="27"/>
  <c r="AH21" i="29" l="1"/>
  <c r="I17" i="29"/>
  <c r="I11" i="27"/>
  <c r="M20" i="28"/>
  <c r="AH20" i="28"/>
  <c r="AD11" i="27"/>
  <c r="AI21" i="30" l="1"/>
  <c r="AD11" i="29"/>
  <c r="M21" i="29"/>
  <c r="AC30" i="27"/>
  <c r="AD11" i="28"/>
  <c r="I11" i="28"/>
  <c r="A30" i="27"/>
  <c r="A31" i="29" l="1"/>
  <c r="I11" i="29"/>
  <c r="AC14" i="27"/>
  <c r="AC30" i="28"/>
  <c r="A30" i="28"/>
  <c r="H14" i="27"/>
  <c r="AC14" i="29" l="1"/>
  <c r="AC31" i="29"/>
  <c r="L17" i="27"/>
  <c r="AC14" i="28"/>
  <c r="H14" i="28"/>
  <c r="AG17" i="27"/>
  <c r="AI31" i="30" l="1"/>
  <c r="L18" i="29"/>
  <c r="H14" i="29"/>
  <c r="A23" i="27"/>
  <c r="AG17" i="28"/>
  <c r="L17" i="28"/>
  <c r="AC23" i="27"/>
  <c r="S24" i="29" a="1"/>
  <c r="AG18" i="29" l="1"/>
  <c r="S24" i="29"/>
  <c r="AH17" i="27"/>
  <c r="A23" i="28"/>
  <c r="AC23" i="28"/>
  <c r="M17" i="27"/>
  <c r="AC24" i="29" l="1"/>
  <c r="M18" i="29"/>
  <c r="A24" i="29"/>
  <c r="L19" i="27"/>
  <c r="M17" i="28"/>
  <c r="AH17" i="28"/>
  <c r="AG19" i="27"/>
  <c r="A24" i="30" l="1"/>
  <c r="AC24" i="30"/>
  <c r="AI24" i="30" s="1"/>
  <c r="AG20" i="29"/>
  <c r="AH18" i="29"/>
  <c r="M13" i="27"/>
  <c r="L19" i="28"/>
  <c r="AG19" i="28"/>
  <c r="AH13" i="27"/>
  <c r="AF19" i="27"/>
  <c r="AI18" i="30" l="1"/>
  <c r="M13" i="29"/>
  <c r="L20" i="29"/>
  <c r="K19" i="27"/>
  <c r="M13" i="28"/>
  <c r="AH13" i="28"/>
  <c r="AH13" i="29" l="1"/>
  <c r="AF20" i="29"/>
  <c r="H12" i="27"/>
  <c r="K19" i="28"/>
  <c r="AF19" i="28"/>
  <c r="AC12" i="27"/>
  <c r="AI13" i="30" l="1"/>
  <c r="K20" i="29"/>
  <c r="H12" i="29"/>
  <c r="M15" i="27"/>
  <c r="H12" i="28"/>
  <c r="AC12" i="28"/>
  <c r="AH15" i="27"/>
  <c r="AC12" i="29" l="1"/>
  <c r="AH15" i="29"/>
  <c r="L16" i="27"/>
  <c r="AH15" i="28"/>
  <c r="M15" i="28"/>
  <c r="AG16" i="27"/>
  <c r="AI15" i="30" l="1"/>
  <c r="M15" i="29"/>
  <c r="L17" i="29"/>
  <c r="J20" i="27"/>
  <c r="AG16" i="28"/>
  <c r="L16" i="28"/>
  <c r="AE20" i="27"/>
  <c r="AE21" i="29" l="1"/>
  <c r="AG17" i="29"/>
  <c r="A24" i="27"/>
  <c r="AE20" i="28"/>
  <c r="J20" i="28"/>
  <c r="AC24" i="27"/>
  <c r="S25" i="29" a="1"/>
  <c r="J21" i="29" l="1"/>
  <c r="S25" i="29"/>
  <c r="I12" i="27"/>
  <c r="AC24" i="28"/>
  <c r="A24" i="28"/>
  <c r="AD12" i="27"/>
  <c r="A25" i="29" l="1"/>
  <c r="AC25" i="29"/>
  <c r="I12" i="29"/>
  <c r="AC15" i="27"/>
  <c r="AD12" i="28"/>
  <c r="I12" i="28"/>
  <c r="H15" i="27"/>
  <c r="AC25" i="30" l="1"/>
  <c r="AI25" i="30" s="1"/>
  <c r="A25" i="30"/>
  <c r="AD12" i="29"/>
  <c r="H15" i="29"/>
  <c r="M16" i="27"/>
  <c r="AC15" i="28"/>
  <c r="H15" i="28"/>
  <c r="AH16" i="27"/>
  <c r="AC15" i="29" l="1"/>
  <c r="AH17" i="29"/>
  <c r="K20" i="27"/>
  <c r="AH16" i="28"/>
  <c r="M16" i="28"/>
  <c r="AF20" i="27"/>
  <c r="AI17" i="30" l="1"/>
  <c r="AF21" i="29"/>
  <c r="M17" i="29"/>
  <c r="J17" i="27"/>
  <c r="AF20" i="28"/>
  <c r="K20" i="28"/>
  <c r="AE17" i="27"/>
  <c r="K21" i="29" l="1"/>
  <c r="AE18" i="29"/>
  <c r="AD19" i="27"/>
  <c r="AE17" i="28"/>
  <c r="J17" i="28"/>
  <c r="I19" i="27"/>
  <c r="J12" i="27"/>
  <c r="J18" i="29" l="1"/>
  <c r="I20" i="29"/>
  <c r="AE12" i="27"/>
  <c r="I19" i="28"/>
  <c r="AD19" i="28"/>
  <c r="AD20" i="29" l="1"/>
  <c r="AE12" i="29"/>
  <c r="I15" i="27"/>
  <c r="J12" i="28"/>
  <c r="AE12" i="28"/>
  <c r="AD15" i="27"/>
  <c r="AC16" i="27"/>
  <c r="I15" i="29" l="1"/>
  <c r="J12" i="29"/>
  <c r="H16" i="27"/>
  <c r="AD15" i="28"/>
  <c r="I15" i="28"/>
  <c r="AD15" i="29" l="1"/>
  <c r="AC17" i="29"/>
  <c r="M18" i="27"/>
  <c r="H16" i="28"/>
  <c r="AC16" i="28"/>
  <c r="AH18" i="27"/>
  <c r="H17" i="29" l="1"/>
  <c r="M19" i="29"/>
  <c r="AG20" i="27"/>
  <c r="AH18" i="28"/>
  <c r="M18" i="28"/>
  <c r="L20" i="27"/>
  <c r="AH19" i="29" l="1"/>
  <c r="L21" i="29"/>
  <c r="AF17" i="27"/>
  <c r="AG20" i="28"/>
  <c r="L20" i="28"/>
  <c r="K17" i="27"/>
  <c r="AI19" i="30" l="1"/>
  <c r="AF18" i="29"/>
  <c r="AG21" i="29"/>
  <c r="AE19" i="27"/>
  <c r="K17" i="28"/>
  <c r="AF17" i="28"/>
  <c r="J19" i="27"/>
  <c r="J20" i="29" l="1"/>
  <c r="K18" i="29"/>
  <c r="J19" i="28"/>
  <c r="AE19" i="28"/>
  <c r="AE20" i="29" l="1"/>
  <c r="AC29" i="31" l="1"/>
  <c r="AI29" i="31" s="1"/>
  <c r="A29" i="31"/>
  <c r="AC31" i="31"/>
  <c r="AI31" i="31" s="1"/>
  <c r="A31" i="31"/>
  <c r="AC30" i="31"/>
  <c r="AI30" i="31" s="1"/>
  <c r="A30" i="31"/>
  <c r="AC32" i="31"/>
  <c r="AI32" i="31" s="1"/>
  <c r="A32" i="31"/>
  <c r="U10" i="31" a="1"/>
  <c r="S30" i="34" a="1"/>
  <c r="T10" i="31" a="1"/>
  <c r="U20" i="31" a="1"/>
  <c r="V19" i="31" a="1"/>
  <c r="U21" i="31" a="1"/>
  <c r="W15" i="31" a="1"/>
  <c r="T14" i="31" a="1"/>
  <c r="X11" i="31" a="1"/>
  <c r="S29" i="34" a="1"/>
  <c r="U11" i="31" a="1"/>
  <c r="U17" i="31" a="1"/>
  <c r="S32" i="34" a="1"/>
  <c r="X17" i="31" a="1"/>
  <c r="S15" i="31" a="1"/>
  <c r="S16" i="31" a="1"/>
  <c r="S25" i="31" a="1"/>
  <c r="W12" i="31" a="1"/>
  <c r="U18" i="31" a="1"/>
  <c r="U13" i="31" a="1"/>
  <c r="S11" i="31" a="1"/>
  <c r="S19" i="31" a="1"/>
  <c r="S21" i="31" a="1"/>
  <c r="T16" i="31" a="1"/>
  <c r="V13" i="31" a="1"/>
  <c r="X13" i="31" a="1"/>
  <c r="T21" i="31" a="1"/>
  <c r="X14" i="31" a="1"/>
  <c r="W21" i="31" a="1"/>
  <c r="W10" i="31" a="1"/>
  <c r="X10" i="31" a="1"/>
  <c r="T15" i="31" a="1"/>
  <c r="W14" i="31" a="1"/>
  <c r="S14" i="31" a="1"/>
  <c r="S20" i="31" a="1"/>
  <c r="W17" i="31" a="1"/>
  <c r="X16" i="31" a="1"/>
  <c r="X21" i="31" a="1"/>
  <c r="W19" i="31" a="1"/>
  <c r="V17" i="31" a="1"/>
  <c r="X18" i="31" a="1"/>
  <c r="V18" i="31" a="1"/>
  <c r="X15" i="31" a="1"/>
  <c r="U14" i="31" a="1"/>
  <c r="S12" i="31" a="1"/>
  <c r="S18" i="31" a="1"/>
  <c r="T18" i="31" a="1"/>
  <c r="W16" i="31" a="1"/>
  <c r="T19" i="31" a="1"/>
  <c r="V21" i="31" a="1"/>
  <c r="W20" i="31" a="1"/>
  <c r="V12" i="31" a="1"/>
  <c r="T13" i="31" a="1"/>
  <c r="T11" i="31" a="1"/>
  <c r="U12" i="31" a="1"/>
  <c r="V14" i="31" a="1"/>
  <c r="T17" i="31" a="1"/>
  <c r="X19" i="31" a="1"/>
  <c r="V20" i="31" a="1"/>
  <c r="W13" i="31" a="1"/>
  <c r="S31" i="34" a="1"/>
  <c r="S13" i="31" a="1"/>
  <c r="T20" i="31" a="1"/>
  <c r="V16" i="31" a="1"/>
  <c r="V11" i="31" a="1"/>
  <c r="W11" i="31" a="1"/>
  <c r="U19" i="31" a="1"/>
  <c r="U15" i="31" a="1"/>
  <c r="S10" i="31" a="1"/>
  <c r="U16" i="31" a="1"/>
  <c r="X12" i="31" a="1"/>
  <c r="V15" i="31" a="1"/>
  <c r="T12" i="31" a="1"/>
  <c r="S17" i="31" a="1"/>
  <c r="W18" i="31" a="1"/>
  <c r="V10" i="31" a="1"/>
  <c r="S24" i="31" a="1"/>
  <c r="X20" i="31" a="1"/>
  <c r="S30" i="34" l="1"/>
  <c r="A30" i="34" s="1"/>
  <c r="S31" i="34"/>
  <c r="A31" i="34" s="1"/>
  <c r="S32" i="34"/>
  <c r="AC32" i="34" s="1"/>
  <c r="AI32" i="34" s="1"/>
  <c r="S29" i="34"/>
  <c r="A29" i="34" s="1"/>
  <c r="X12" i="31"/>
  <c r="AH12" i="31" s="1"/>
  <c r="AI12" i="31" s="1"/>
  <c r="X14" i="31"/>
  <c r="AH14" i="31" s="1"/>
  <c r="AI14" i="31" s="1"/>
  <c r="X18" i="31"/>
  <c r="W14" i="31"/>
  <c r="T17" i="31"/>
  <c r="X15" i="31"/>
  <c r="S10" i="31"/>
  <c r="T10" i="31"/>
  <c r="V12" i="31"/>
  <c r="S12" i="31"/>
  <c r="S16" i="31"/>
  <c r="T14" i="31"/>
  <c r="U11" i="31"/>
  <c r="X11" i="31"/>
  <c r="AH11" i="31" s="1"/>
  <c r="AI11" i="31" s="1"/>
  <c r="U14" i="31"/>
  <c r="S13" i="31"/>
  <c r="U19" i="31"/>
  <c r="W13" i="31"/>
  <c r="S11" i="31"/>
  <c r="U21" i="31"/>
  <c r="U15" i="31"/>
  <c r="V15" i="31"/>
  <c r="T18" i="31"/>
  <c r="U20" i="31"/>
  <c r="W11" i="31"/>
  <c r="X13" i="31"/>
  <c r="U13" i="31"/>
  <c r="W16" i="31"/>
  <c r="W12" i="31"/>
  <c r="U16" i="31"/>
  <c r="W17" i="31"/>
  <c r="T15" i="31"/>
  <c r="T13" i="31"/>
  <c r="S20" i="31"/>
  <c r="W19" i="31"/>
  <c r="V10" i="31"/>
  <c r="X19" i="31"/>
  <c r="S24" i="31"/>
  <c r="X21" i="31"/>
  <c r="V16" i="31"/>
  <c r="T19" i="31"/>
  <c r="W21" i="31"/>
  <c r="W15" i="31"/>
  <c r="W10" i="31"/>
  <c r="V14" i="31"/>
  <c r="S15" i="31"/>
  <c r="S14" i="31"/>
  <c r="T12" i="31"/>
  <c r="V18" i="31"/>
  <c r="X20" i="31"/>
  <c r="U17" i="31"/>
  <c r="V13" i="31"/>
  <c r="V17" i="31"/>
  <c r="V19" i="31"/>
  <c r="U18" i="31"/>
  <c r="X17" i="31"/>
  <c r="W20" i="31"/>
  <c r="X10" i="31"/>
  <c r="S17" i="31"/>
  <c r="S19" i="31"/>
  <c r="V11" i="31"/>
  <c r="S18" i="31"/>
  <c r="T20" i="31"/>
  <c r="X16" i="31"/>
  <c r="V21" i="31"/>
  <c r="T16" i="31"/>
  <c r="T11" i="31"/>
  <c r="S25" i="31"/>
  <c r="U12" i="31"/>
  <c r="V20" i="31"/>
  <c r="T21" i="31"/>
  <c r="U10" i="31"/>
  <c r="S21" i="31"/>
  <c r="W18" i="31"/>
  <c r="W18" i="34" a="1"/>
  <c r="T18" i="34" a="1"/>
  <c r="T13" i="34" a="1"/>
  <c r="W17" i="34" a="1"/>
  <c r="U12" i="34" a="1"/>
  <c r="T10" i="34" a="1"/>
  <c r="X21" i="34" a="1"/>
  <c r="X18" i="34" a="1"/>
  <c r="U20" i="34" a="1"/>
  <c r="X20" i="34" a="1"/>
  <c r="U13" i="34" a="1"/>
  <c r="V13" i="34" a="1"/>
  <c r="T17" i="34" a="1"/>
  <c r="X10" i="34" a="1"/>
  <c r="U10" i="34" a="1"/>
  <c r="S10" i="34" a="1"/>
  <c r="S17" i="34" a="1"/>
  <c r="S20" i="34" a="1"/>
  <c r="W10" i="34" a="1"/>
  <c r="U17" i="34" a="1"/>
  <c r="S14" i="34" a="1"/>
  <c r="X15" i="34" a="1"/>
  <c r="T11" i="34" a="1"/>
  <c r="S18" i="34" a="1"/>
  <c r="V19" i="34" a="1"/>
  <c r="U16" i="34" a="1"/>
  <c r="W19" i="34" a="1"/>
  <c r="U11" i="34" a="1"/>
  <c r="S24" i="34" a="1"/>
  <c r="W16" i="34" a="1"/>
  <c r="S21" i="34" a="1"/>
  <c r="S25" i="34" a="1"/>
  <c r="X19" i="34" a="1"/>
  <c r="X17" i="34" a="1"/>
  <c r="T15" i="34" a="1"/>
  <c r="V18" i="34" a="1"/>
  <c r="U14" i="34" a="1"/>
  <c r="V10" i="34" a="1"/>
  <c r="X16" i="34" a="1"/>
  <c r="X13" i="34" a="1"/>
  <c r="V12" i="34" a="1"/>
  <c r="V14" i="34" a="1"/>
  <c r="T20" i="34" a="1"/>
  <c r="T21" i="34" a="1"/>
  <c r="T19" i="34" a="1"/>
  <c r="T16" i="34" a="1"/>
  <c r="W21" i="34" a="1"/>
  <c r="W20" i="34" a="1"/>
  <c r="W12" i="34" a="1"/>
  <c r="U15" i="34" a="1"/>
  <c r="T12" i="34" a="1"/>
  <c r="V20" i="34" a="1"/>
  <c r="W11" i="34" a="1"/>
  <c r="V17" i="34" a="1"/>
  <c r="S15" i="34" a="1"/>
  <c r="W13" i="34" a="1"/>
  <c r="U18" i="34" a="1"/>
  <c r="V11" i="34" a="1"/>
  <c r="V16" i="34" a="1"/>
  <c r="U19" i="34" a="1"/>
  <c r="W15" i="34" a="1"/>
  <c r="V15" i="34" a="1"/>
  <c r="S16" i="34" a="1"/>
  <c r="S12" i="34" a="1"/>
  <c r="W14" i="34" a="1"/>
  <c r="S13" i="34" a="1"/>
  <c r="U21" i="34" a="1"/>
  <c r="S19" i="34" a="1"/>
  <c r="T14" i="34" a="1"/>
  <c r="V21" i="34" a="1"/>
  <c r="S11" i="34" a="1"/>
  <c r="AC29" i="34" l="1"/>
  <c r="AI29" i="34" s="1"/>
  <c r="A32" i="34"/>
  <c r="AC30" i="34"/>
  <c r="AI30" i="34" s="1"/>
  <c r="AC31" i="34"/>
  <c r="AI31" i="34" s="1"/>
  <c r="T11" i="34"/>
  <c r="U18" i="34"/>
  <c r="W15" i="34"/>
  <c r="W17" i="34"/>
  <c r="S11" i="34"/>
  <c r="S10" i="34"/>
  <c r="T16" i="34"/>
  <c r="V19" i="34"/>
  <c r="W21" i="34"/>
  <c r="U16" i="34"/>
  <c r="W13" i="34"/>
  <c r="X15" i="34"/>
  <c r="W10" i="34"/>
  <c r="V21" i="34"/>
  <c r="V17" i="34"/>
  <c r="T19" i="34"/>
  <c r="W12" i="34"/>
  <c r="U19" i="34"/>
  <c r="T17" i="34"/>
  <c r="T15" i="34"/>
  <c r="X16" i="34"/>
  <c r="V13" i="34"/>
  <c r="V16" i="34"/>
  <c r="W16" i="34"/>
  <c r="S13" i="34"/>
  <c r="W14" i="34"/>
  <c r="T10" i="34"/>
  <c r="T20" i="34"/>
  <c r="U17" i="34"/>
  <c r="X21" i="34"/>
  <c r="U13" i="34"/>
  <c r="U14" i="34"/>
  <c r="X18" i="34"/>
  <c r="S25" i="34"/>
  <c r="W18" i="34"/>
  <c r="S18" i="34"/>
  <c r="X20" i="34"/>
  <c r="S24" i="34"/>
  <c r="X13" i="34"/>
  <c r="S21" i="34"/>
  <c r="V11" i="34"/>
  <c r="V18" i="34"/>
  <c r="X19" i="34"/>
  <c r="W11" i="34"/>
  <c r="U11" i="34"/>
  <c r="U10" i="34"/>
  <c r="S19" i="34"/>
  <c r="T12" i="34"/>
  <c r="V10" i="34"/>
  <c r="U20" i="34"/>
  <c r="T14" i="34"/>
  <c r="U21" i="34"/>
  <c r="T21" i="34"/>
  <c r="S17" i="34"/>
  <c r="S14" i="34"/>
  <c r="W19" i="34"/>
  <c r="T18" i="34"/>
  <c r="S16" i="34"/>
  <c r="X17" i="34"/>
  <c r="V20" i="34"/>
  <c r="X10" i="34"/>
  <c r="S15" i="34"/>
  <c r="S20" i="34"/>
  <c r="V15" i="34"/>
  <c r="S12" i="34"/>
  <c r="U12" i="34"/>
  <c r="W20" i="34"/>
  <c r="V14" i="34"/>
  <c r="T13" i="34"/>
  <c r="U15" i="34"/>
  <c r="V12" i="34"/>
  <c r="AD11" i="31"/>
  <c r="I11" i="31"/>
  <c r="J18" i="31"/>
  <c r="AE18" i="31"/>
  <c r="L15" i="31"/>
  <c r="AG15" i="31"/>
  <c r="L17" i="31"/>
  <c r="AG17" i="31"/>
  <c r="AC11" i="31"/>
  <c r="H11" i="31"/>
  <c r="H10" i="31"/>
  <c r="AC10" i="31"/>
  <c r="AD16" i="31"/>
  <c r="I16" i="31"/>
  <c r="K19" i="31"/>
  <c r="AF19" i="31"/>
  <c r="AG21" i="31"/>
  <c r="L21" i="31"/>
  <c r="AE16" i="31"/>
  <c r="J16" i="31"/>
  <c r="L13" i="31"/>
  <c r="AG13" i="31"/>
  <c r="M15" i="31"/>
  <c r="AH15" i="31"/>
  <c r="AI15" i="31" s="1"/>
  <c r="AG10" i="31"/>
  <c r="L10" i="31"/>
  <c r="AF21" i="31"/>
  <c r="K21" i="31"/>
  <c r="K17" i="31"/>
  <c r="AF17" i="31"/>
  <c r="AD19" i="31"/>
  <c r="I19" i="31"/>
  <c r="L12" i="31"/>
  <c r="AG12" i="31"/>
  <c r="AE19" i="31"/>
  <c r="J19" i="31"/>
  <c r="I17" i="31"/>
  <c r="AD17" i="31"/>
  <c r="AD15" i="31"/>
  <c r="I15" i="31"/>
  <c r="AH16" i="31"/>
  <c r="AI16" i="31" s="1"/>
  <c r="M16" i="31"/>
  <c r="AF13" i="31"/>
  <c r="K13" i="31"/>
  <c r="K16" i="31"/>
  <c r="AF16" i="31"/>
  <c r="AG16" i="31"/>
  <c r="L16" i="31"/>
  <c r="AC13" i="31"/>
  <c r="H13" i="31"/>
  <c r="L14" i="31"/>
  <c r="AG14" i="31"/>
  <c r="I10" i="31"/>
  <c r="AD10" i="31"/>
  <c r="AD20" i="31"/>
  <c r="I20" i="31"/>
  <c r="J17" i="31"/>
  <c r="AE17" i="31"/>
  <c r="M21" i="31"/>
  <c r="AH21" i="31"/>
  <c r="AI21" i="31" s="1"/>
  <c r="J13" i="31"/>
  <c r="AE13" i="31"/>
  <c r="J14" i="31"/>
  <c r="AE14" i="31"/>
  <c r="AH18" i="31"/>
  <c r="AI18" i="31" s="1"/>
  <c r="M18" i="31"/>
  <c r="AC25" i="31"/>
  <c r="AI25" i="31" s="1"/>
  <c r="A25" i="31"/>
  <c r="AG18" i="31"/>
  <c r="L18" i="31"/>
  <c r="H18" i="31"/>
  <c r="AC18" i="31"/>
  <c r="M20" i="31"/>
  <c r="AH20" i="31"/>
  <c r="AI20" i="31" s="1"/>
  <c r="AC24" i="31"/>
  <c r="AI24" i="31" s="1"/>
  <c r="A24" i="31"/>
  <c r="M13" i="31"/>
  <c r="AH13" i="31"/>
  <c r="AI13" i="31" s="1"/>
  <c r="H21" i="31"/>
  <c r="AC21" i="31"/>
  <c r="AF11" i="31"/>
  <c r="K11" i="31"/>
  <c r="AF18" i="31"/>
  <c r="K18" i="31"/>
  <c r="M19" i="31"/>
  <c r="AH19" i="31"/>
  <c r="AI19" i="31" s="1"/>
  <c r="L11" i="31"/>
  <c r="AG11" i="31"/>
  <c r="J11" i="31"/>
  <c r="AE11" i="31"/>
  <c r="AE10" i="31"/>
  <c r="J10" i="31"/>
  <c r="H19" i="31"/>
  <c r="AC19" i="31"/>
  <c r="AD12" i="31"/>
  <c r="I12" i="31"/>
  <c r="AF10" i="31"/>
  <c r="K10" i="31"/>
  <c r="AE20" i="31"/>
  <c r="J20" i="31"/>
  <c r="I14" i="31"/>
  <c r="AD14" i="31"/>
  <c r="AE21" i="31"/>
  <c r="J21" i="31"/>
  <c r="I21" i="31"/>
  <c r="AD21" i="31"/>
  <c r="H17" i="31"/>
  <c r="AC17" i="31"/>
  <c r="H14" i="31"/>
  <c r="AC14" i="31"/>
  <c r="L19" i="31"/>
  <c r="AG19" i="31"/>
  <c r="AD18" i="31"/>
  <c r="I18" i="31"/>
  <c r="H16" i="31"/>
  <c r="AC16" i="31"/>
  <c r="AH17" i="31"/>
  <c r="AI17" i="31" s="1"/>
  <c r="M17" i="31"/>
  <c r="K20" i="31"/>
  <c r="AF20" i="31"/>
  <c r="AH10" i="31"/>
  <c r="AI10" i="31" s="1"/>
  <c r="M10" i="31"/>
  <c r="AC15" i="31"/>
  <c r="H15" i="31"/>
  <c r="AC20" i="31"/>
  <c r="H20" i="31"/>
  <c r="AF15" i="31"/>
  <c r="K15" i="31"/>
  <c r="H12" i="31"/>
  <c r="AC12" i="31"/>
  <c r="J12" i="31"/>
  <c r="AE12" i="31"/>
  <c r="L20" i="31"/>
  <c r="AG20" i="31"/>
  <c r="K14" i="31"/>
  <c r="AF14" i="31"/>
  <c r="AD13" i="31"/>
  <c r="I13" i="31"/>
  <c r="AE15" i="31"/>
  <c r="J15" i="31"/>
  <c r="K12" i="31"/>
  <c r="AF12" i="31"/>
  <c r="K20" i="34" l="1"/>
  <c r="AF20" i="34"/>
  <c r="I12" i="34"/>
  <c r="AD12" i="34"/>
  <c r="H18" i="34"/>
  <c r="AC18" i="34"/>
  <c r="L16" i="34"/>
  <c r="AG16" i="34"/>
  <c r="AH15" i="34"/>
  <c r="AI15" i="34" s="1"/>
  <c r="M15" i="34"/>
  <c r="K12" i="34"/>
  <c r="AF12" i="34"/>
  <c r="AH17" i="34"/>
  <c r="AI17" i="34" s="1"/>
  <c r="M17" i="34"/>
  <c r="H19" i="34"/>
  <c r="AC19" i="34"/>
  <c r="AG18" i="34"/>
  <c r="L18" i="34"/>
  <c r="K16" i="34"/>
  <c r="AF16" i="34"/>
  <c r="AG13" i="34"/>
  <c r="L13" i="34"/>
  <c r="J15" i="34"/>
  <c r="AE15" i="34"/>
  <c r="H16" i="34"/>
  <c r="AC16" i="34"/>
  <c r="AE10" i="34"/>
  <c r="J10" i="34"/>
  <c r="A25" i="34"/>
  <c r="AC25" i="34"/>
  <c r="AI25" i="34" s="1"/>
  <c r="AF13" i="34"/>
  <c r="K13" i="34"/>
  <c r="J16" i="34"/>
  <c r="AE16" i="34"/>
  <c r="AH16" i="34"/>
  <c r="AI16" i="34" s="1"/>
  <c r="M16" i="34"/>
  <c r="AH18" i="34"/>
  <c r="AI18" i="34" s="1"/>
  <c r="M18" i="34"/>
  <c r="AF14" i="34"/>
  <c r="K14" i="34"/>
  <c r="L19" i="34"/>
  <c r="AG19" i="34"/>
  <c r="L11" i="34"/>
  <c r="AG11" i="34"/>
  <c r="AI11" i="34" s="1"/>
  <c r="AE14" i="34"/>
  <c r="J14" i="34"/>
  <c r="AD15" i="34"/>
  <c r="I15" i="34"/>
  <c r="AF19" i="34"/>
  <c r="K19" i="34"/>
  <c r="AD13" i="34"/>
  <c r="I13" i="34"/>
  <c r="I18" i="34"/>
  <c r="AD18" i="34"/>
  <c r="J11" i="34"/>
  <c r="AE11" i="34"/>
  <c r="AG21" i="34"/>
  <c r="L21" i="34"/>
  <c r="AG20" i="34"/>
  <c r="L20" i="34"/>
  <c r="AC14" i="34"/>
  <c r="H14" i="34"/>
  <c r="M19" i="34"/>
  <c r="AH19" i="34"/>
  <c r="AI19" i="34" s="1"/>
  <c r="J13" i="34"/>
  <c r="AE13" i="34"/>
  <c r="I17" i="34"/>
  <c r="AD17" i="34"/>
  <c r="I16" i="34"/>
  <c r="AD16" i="34"/>
  <c r="J12" i="34"/>
  <c r="AE12" i="34"/>
  <c r="AC17" i="34"/>
  <c r="H17" i="34"/>
  <c r="AF18" i="34"/>
  <c r="K18" i="34"/>
  <c r="M21" i="34"/>
  <c r="AH21" i="34"/>
  <c r="AI21" i="34" s="1"/>
  <c r="J19" i="34"/>
  <c r="AE19" i="34"/>
  <c r="AC10" i="34"/>
  <c r="H10" i="34"/>
  <c r="AC12" i="34"/>
  <c r="H12" i="34"/>
  <c r="AD21" i="34"/>
  <c r="I21" i="34"/>
  <c r="AF11" i="34"/>
  <c r="K11" i="34"/>
  <c r="J17" i="34"/>
  <c r="AE17" i="34"/>
  <c r="AG12" i="34"/>
  <c r="AI12" i="34" s="1"/>
  <c r="L12" i="34"/>
  <c r="AC11" i="34"/>
  <c r="H11" i="34"/>
  <c r="AF15" i="34"/>
  <c r="K15" i="34"/>
  <c r="J21" i="34"/>
  <c r="AE21" i="34"/>
  <c r="AC21" i="34"/>
  <c r="H21" i="34"/>
  <c r="AD20" i="34"/>
  <c r="I20" i="34"/>
  <c r="I19" i="34"/>
  <c r="AD19" i="34"/>
  <c r="L17" i="34"/>
  <c r="AG17" i="34"/>
  <c r="AC20" i="34"/>
  <c r="H20" i="34"/>
  <c r="AD14" i="34"/>
  <c r="I14" i="34"/>
  <c r="M13" i="34"/>
  <c r="AH13" i="34"/>
  <c r="AI13" i="34" s="1"/>
  <c r="AD10" i="34"/>
  <c r="I10" i="34"/>
  <c r="K17" i="34"/>
  <c r="AF17" i="34"/>
  <c r="L15" i="34"/>
  <c r="AG15" i="34"/>
  <c r="AC15" i="34"/>
  <c r="H15" i="34"/>
  <c r="J20" i="34"/>
  <c r="AE20" i="34"/>
  <c r="AC24" i="34"/>
  <c r="AI24" i="34" s="1"/>
  <c r="A24" i="34"/>
  <c r="AG14" i="34"/>
  <c r="AI14" i="34" s="1"/>
  <c r="L14" i="34"/>
  <c r="AF21" i="34"/>
  <c r="K21" i="34"/>
  <c r="J18" i="34"/>
  <c r="AE18" i="34"/>
  <c r="M10" i="34"/>
  <c r="AH10" i="34"/>
  <c r="AI10" i="34" s="1"/>
  <c r="AF10" i="34"/>
  <c r="K10" i="34"/>
  <c r="M20" i="34"/>
  <c r="AH20" i="34"/>
  <c r="AI20" i="34" s="1"/>
  <c r="H13" i="34"/>
  <c r="AC13" i="34"/>
  <c r="L10" i="34"/>
  <c r="AG10" i="34"/>
  <c r="AD11" i="34"/>
  <c r="I11" i="3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Nelmspk0</author>
  </authors>
  <commentList>
    <comment ref="A4" authorId="0" shapeId="0" xr:uid="{00000000-0006-0000-0000-000001000000}">
      <text>
        <r>
          <rPr>
            <b/>
            <sz val="8"/>
            <color indexed="81"/>
            <rFont val="Tahoma"/>
            <family val="2"/>
          </rPr>
          <t>Nelmspk0:</t>
        </r>
        <r>
          <rPr>
            <sz val="8"/>
            <color indexed="81"/>
            <rFont val="Tahoma"/>
            <family val="2"/>
          </rPr>
          <t xml:space="preserve">
All steps frozen. Create a new top step 1.88% higher. All employees on step 7 as of 12/31/05 move to step 8 on 1/1/06.  All other employees get step progression on anniversary date. Increase Long by 2%.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 xml:space="preserve">Nelms, Pam </author>
  </authors>
  <commentList>
    <comment ref="A4" authorId="0" shapeId="0" xr:uid="{00000000-0006-0000-0A00-000001000000}">
      <text>
        <r>
          <rPr>
            <b/>
            <sz val="8"/>
            <color indexed="81"/>
            <rFont val="Tahoma"/>
            <family val="2"/>
          </rPr>
          <t>Nelms, Pam :</t>
        </r>
        <r>
          <rPr>
            <sz val="8"/>
            <color indexed="81"/>
            <rFont val="Tahoma"/>
            <family val="2"/>
          </rPr>
          <t xml:space="preserve">
Increase all regular salary steps and longevity rates 2.11%. Hazardous Conditions comp &amp; On Call Pay does not change. (this is from the Me Too Agreement calculation of CBA ATBs)
Regular Step progression was frozen in 2012, however due to the lateness of the agreement, the 2012 step-freeze wiil be deferred to 2013. Longevity step movement is permitted.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 xml:space="preserve">Nelms, Pam </author>
  </authors>
  <commentList>
    <comment ref="A4" authorId="0" shapeId="0" xr:uid="{00000000-0006-0000-0B00-000001000000}">
      <text>
        <r>
          <rPr>
            <b/>
            <sz val="8"/>
            <color indexed="81"/>
            <rFont val="Tahoma"/>
            <family val="2"/>
          </rPr>
          <t>Nelms, Pam :</t>
        </r>
        <r>
          <rPr>
            <sz val="8"/>
            <color indexed="81"/>
            <rFont val="Tahoma"/>
            <family val="2"/>
          </rPr>
          <t xml:space="preserve">
Effective January 1, 2015: No change from 2014 Schedule until March 2015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 xml:space="preserve">Nelms, Pam </author>
  </authors>
  <commentList>
    <comment ref="A4" authorId="0" shapeId="0" xr:uid="{00000000-0006-0000-0C00-000001000000}">
      <text>
        <r>
          <rPr>
            <b/>
            <sz val="8"/>
            <color indexed="81"/>
            <rFont val="Tahoma"/>
            <family val="2"/>
          </rPr>
          <t>Nelms, Pam :</t>
        </r>
        <r>
          <rPr>
            <sz val="8"/>
            <color indexed="81"/>
            <rFont val="Tahoma"/>
            <family val="2"/>
          </rPr>
          <t xml:space="preserve">
Effective at the start of the pay period that includes March 1, 2015: Increase all regular salary steps for all titles by 2.25%. 
Increase all longevity steps 2.25%.  
Hazardous Conditions comp &amp; On Call Pay does not change.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 xml:space="preserve">Nelms, Pam </author>
  </authors>
  <commentList>
    <comment ref="A4" authorId="0" shapeId="0" xr:uid="{00000000-0006-0000-0D00-000001000000}">
      <text>
        <r>
          <rPr>
            <b/>
            <sz val="8"/>
            <color indexed="81"/>
            <rFont val="Tahoma"/>
            <family val="2"/>
          </rPr>
          <t>Nelms, Pam :</t>
        </r>
        <r>
          <rPr>
            <sz val="8"/>
            <color indexed="81"/>
            <rFont val="Tahoma"/>
            <family val="2"/>
          </rPr>
          <t xml:space="preserve">
Effective at the start of the pay period that includes March 1, 2016: Increase all regular salary steps for all titles except Engineer (Graduate) by 2.5%. 
Creats new top step for Engineer (Graduate) 3% above the 7/1/2016-effective top step of Supervisor, Engineering Tech I (34.525); Recalibrates the Engineer salary schedule by reducing each step by 4% to make a new 6-step schedule. 
Increase all longevity steps 2.5%.  
Hazardous Conditions comp &amp; On Call Pay does not change.
Members contribute $50 per pay period into MSRS Health Savings Account; All Sick leave and all vacation payout goes into MSRS account except in cases of layoff.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 xml:space="preserve">Nelms, Pam </author>
  </authors>
  <commentList>
    <comment ref="A4" authorId="0" shapeId="0" xr:uid="{00000000-0006-0000-0E00-000001000000}">
      <text>
        <r>
          <rPr>
            <b/>
            <sz val="8"/>
            <color indexed="81"/>
            <rFont val="Tahoma"/>
            <family val="2"/>
          </rPr>
          <t>Nelms, Pam :</t>
        </r>
        <r>
          <rPr>
            <sz val="8"/>
            <color indexed="81"/>
            <rFont val="Tahoma"/>
            <family val="2"/>
          </rPr>
          <t xml:space="preserve">
Effective on January 1, 2017: Increase all regular salary steps for all titles  by 2.5%. 
Increase all longevity steps 2.5%.  
Eliminates Hazardous Conditions Pay
No change to On Call Pay 
Rolls Safety Shoe Reimbursement into Salary Schedule. (Adds $90 to the annual salary after the ATB has been applied.) Employees are still required to wear safety shoes as previously required.
Members contribute $50 per pay period into MSRS Health Savings Account; All Sick leave and all vacation payout goes into MSRS account except in cases of layoff.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 xml:space="preserve">Nelms, Pam </author>
  </authors>
  <commentList>
    <comment ref="A4" authorId="0" shapeId="0" xr:uid="{00000000-0006-0000-0F00-000001000000}">
      <text>
        <r>
          <rPr>
            <b/>
            <sz val="8"/>
            <color indexed="81"/>
            <rFont val="Tahoma"/>
            <family val="2"/>
          </rPr>
          <t>Nelms, Pam :</t>
        </r>
        <r>
          <rPr>
            <sz val="8"/>
            <color indexed="81"/>
            <rFont val="Tahoma"/>
            <family val="2"/>
          </rPr>
          <t xml:space="preserve">
Effective on March 1, 2018: Increase all regular salary steps for all titles  by 2.5%. 
Increase all longevity steps 2.5%.  
No change to On Call Pay 
Safety Shoe Reimbursement included in Salary Schedule.Employees are required to wear safety shoes as previously required.
Members contribute $50 per pay period into MSRS Health Savings Account; All Sick leave and all vacation payout goes into MSRS account except in cases of layoff.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Nelmspk0</author>
  </authors>
  <commentList>
    <comment ref="A4" authorId="0" shapeId="0" xr:uid="{00000000-0006-0000-0100-000001000000}">
      <text>
        <r>
          <rPr>
            <b/>
            <sz val="8"/>
            <color indexed="81"/>
            <rFont val="Tahoma"/>
            <family val="2"/>
          </rPr>
          <t>Nelmspk0:</t>
        </r>
        <r>
          <rPr>
            <sz val="8"/>
            <color indexed="81"/>
            <rFont val="Tahoma"/>
            <family val="2"/>
          </rPr>
          <t xml:space="preserve">
All steps frozen. Allows step progression. Effective on March 4th, 2007, increase top step 2%. All employees on step 8 on 12/31/06 get a $350 lump sum payment. 2% to Longevity.  Eliminate step 1 on 12/37/07, employees keep the same rate of pay and drop down a step number.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Nelmspk0</author>
  </authors>
  <commentList>
    <comment ref="A4" authorId="0" shapeId="0" xr:uid="{00000000-0006-0000-0200-000001000000}">
      <text>
        <r>
          <rPr>
            <b/>
            <sz val="8"/>
            <color indexed="81"/>
            <rFont val="Tahoma"/>
            <family val="2"/>
          </rPr>
          <t>Nelmspk0:</t>
        </r>
        <r>
          <rPr>
            <sz val="8"/>
            <color indexed="81"/>
            <rFont val="Tahoma"/>
            <family val="2"/>
          </rPr>
          <t xml:space="preserve">
All steps frozen. Allows step progression. Effective on March 4th, 2007, increase top step 2%. All employees on step 8 on 12/31/06 get a $350 lump sum payment. 2% to Longevity.  Eliminate step 1 on 12/37/07, employees keep the same rate of pay and drop down a step number.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Nelmspk0</author>
  </authors>
  <commentList>
    <comment ref="A4" authorId="0" shapeId="0" xr:uid="{00000000-0006-0000-0400-000001000000}">
      <text>
        <r>
          <rPr>
            <b/>
            <sz val="8"/>
            <color indexed="81"/>
            <rFont val="Tahoma"/>
            <family val="2"/>
          </rPr>
          <t>Nelmspk0:</t>
        </r>
        <r>
          <rPr>
            <sz val="8"/>
            <color indexed="81"/>
            <rFont val="Tahoma"/>
            <family val="2"/>
          </rPr>
          <t xml:space="preserve">
All steps frozen. Allows step progression. </t>
        </r>
      </text>
    </comment>
    <comment ref="A6" authorId="0" shapeId="0" xr:uid="{00000000-0006-0000-0400-000002000000}">
      <text>
        <r>
          <rPr>
            <b/>
            <sz val="8"/>
            <color indexed="81"/>
            <rFont val="Tahoma"/>
            <family val="2"/>
          </rPr>
          <t>Nelmspk0:</t>
        </r>
        <r>
          <rPr>
            <sz val="8"/>
            <color indexed="81"/>
            <rFont val="Tahoma"/>
            <family val="2"/>
          </rPr>
          <t xml:space="preserve">
 Allows step progression. Effective on April 1st, 2008, increase 6 months through year 6 steps by 2%, and step 7 by 2.5%. Increase longevity by 2%</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Nelmspk0</author>
  </authors>
  <commentList>
    <comment ref="A4" authorId="0" shapeId="0" xr:uid="{00000000-0006-0000-0500-000001000000}">
      <text>
        <r>
          <rPr>
            <b/>
            <sz val="8"/>
            <color indexed="81"/>
            <rFont val="Tahoma"/>
            <family val="2"/>
          </rPr>
          <t xml:space="preserve">Nelmspk0: </t>
        </r>
        <r>
          <rPr>
            <sz val="8"/>
            <color indexed="81"/>
            <rFont val="Tahoma"/>
            <family val="2"/>
          </rPr>
          <t>Allows step progression. Effective on January 1, 2009 all steps are frozen except insurance step is eliminated.</t>
        </r>
      </text>
    </comment>
    <comment ref="A7" authorId="0" shapeId="0" xr:uid="{00000000-0006-0000-0500-000002000000}">
      <text>
        <r>
          <rPr>
            <b/>
            <sz val="8"/>
            <color indexed="81"/>
            <rFont val="Tahoma"/>
            <family val="2"/>
          </rPr>
          <t xml:space="preserve">Nelmspk0: </t>
        </r>
        <r>
          <rPr>
            <sz val="8"/>
            <color indexed="81"/>
            <rFont val="Tahoma"/>
            <family val="2"/>
          </rPr>
          <t xml:space="preserve">Allows step progression. Iincrease step 1 through step 6 by 2%, and step 7 by 2.5%. Increase longevity by 2%. </t>
        </r>
      </text>
    </comment>
    <comment ref="D19" authorId="0" shapeId="0" xr:uid="{00000000-0006-0000-0500-000003000000}">
      <text>
        <r>
          <rPr>
            <b/>
            <sz val="8"/>
            <color indexed="81"/>
            <rFont val="Tahoma"/>
            <family val="2"/>
          </rPr>
          <t>Nelmspk0:</t>
        </r>
        <r>
          <rPr>
            <sz val="8"/>
            <color indexed="81"/>
            <rFont val="Tahoma"/>
            <family val="2"/>
          </rPr>
          <t xml:space="preserve">
Retitle and added 20 points on 1/06/09. No change to salary.</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Nelmspk0</author>
  </authors>
  <commentList>
    <comment ref="A4" authorId="0" shapeId="0" xr:uid="{00000000-0006-0000-0600-000001000000}">
      <text>
        <r>
          <rPr>
            <b/>
            <sz val="8"/>
            <color indexed="81"/>
            <rFont val="Tahoma"/>
            <family val="2"/>
          </rPr>
          <t xml:space="preserve">Nelmspk0:
</t>
        </r>
        <r>
          <rPr>
            <sz val="8"/>
            <color indexed="81"/>
            <rFont val="Tahoma"/>
            <family val="2"/>
          </rPr>
          <t xml:space="preserve"> Allows step progression. Effective on January 1, 2010 all steps are frozen.</t>
        </r>
      </text>
    </comment>
    <comment ref="A6" authorId="0" shapeId="0" xr:uid="{00000000-0006-0000-0600-000002000000}">
      <text>
        <r>
          <rPr>
            <b/>
            <sz val="8"/>
            <color indexed="81"/>
            <rFont val="Tahoma"/>
            <family val="2"/>
          </rPr>
          <t>Nelmspk0:</t>
        </r>
        <r>
          <rPr>
            <sz val="8"/>
            <color indexed="81"/>
            <rFont val="Tahoma"/>
            <family val="2"/>
          </rPr>
          <t xml:space="preserve">
Effetive on the first day of the payroll period that includes April 1, 2010: Iincrease all steps by 2.25%. Increase longevity by 2%.  Step 1 is eliminated. Employees on step 1 at the time the step is dropped move to the new step 1 and will have their step date for future step increases changed to April 1. Other employees move steps such that their pay stays the same.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 xml:space="preserve">Nelms, Pam </author>
  </authors>
  <commentList>
    <comment ref="A4" authorId="0" shapeId="0" xr:uid="{00000000-0006-0000-0700-000001000000}">
      <text>
        <r>
          <rPr>
            <b/>
            <sz val="8"/>
            <color indexed="81"/>
            <rFont val="Tahoma"/>
            <family val="2"/>
          </rPr>
          <t>Nelms, Pam :</t>
        </r>
        <r>
          <rPr>
            <sz val="8"/>
            <color indexed="81"/>
            <rFont val="Tahoma"/>
            <family val="2"/>
          </rPr>
          <t xml:space="preserve">
No change to salary schedules (Last change was effective on January 1, 2010.)  Step progression allowed.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 xml:space="preserve">Nelms, Pam </author>
  </authors>
  <commentList>
    <comment ref="A4" authorId="0" shapeId="0" xr:uid="{00000000-0006-0000-0800-000001000000}">
      <text>
        <r>
          <rPr>
            <b/>
            <sz val="8"/>
            <color indexed="81"/>
            <rFont val="Tahoma"/>
            <family val="2"/>
          </rPr>
          <t>Nelms, Pam :</t>
        </r>
        <r>
          <rPr>
            <sz val="8"/>
            <color indexed="81"/>
            <rFont val="Tahoma"/>
            <family val="2"/>
          </rPr>
          <t xml:space="preserve">
No change to salary schedules (Last change was effective on January 1, 2010.)  Regular Step progression  is frozen, however due to the lateness of the agreement, the 2012 step freeze wiil be deferred to 2013. Longevity step movement is permitted.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 xml:space="preserve">Nelms, Pam </author>
  </authors>
  <commentList>
    <comment ref="A4" authorId="0" shapeId="0" xr:uid="{00000000-0006-0000-0900-000001000000}">
      <text>
        <r>
          <rPr>
            <b/>
            <sz val="8"/>
            <color indexed="81"/>
            <rFont val="Tahoma"/>
            <family val="2"/>
          </rPr>
          <t>Nelms, Pam :</t>
        </r>
        <r>
          <rPr>
            <sz val="8"/>
            <color indexed="81"/>
            <rFont val="Tahoma"/>
            <family val="2"/>
          </rPr>
          <t xml:space="preserve">
No change to salary schedule until all other settlements are in, then the average of the settlements for 2013 will be applied to this unit.  (Last change was effective on January 1, 2010.)  Regular Step progression  is frozen in 2012, however due to the lateness of the agreement, the 2012 step freeze wiil be deferred to 2013. Longevity step movement is permitted. A "Me Too" agreement on salary adjustment is part of this Agreement. See Contract for details.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<sst xmlns="http://schemas.openxmlformats.org/spreadsheetml/2006/main" count="2627" uniqueCount="218">
  <si>
    <t>APPENDIX "A"</t>
  </si>
  <si>
    <t xml:space="preserve">PUBLIC WORKS ENGINEERS' ASSOCIATION (CEN) </t>
  </si>
  <si>
    <t>FLSA</t>
  </si>
  <si>
    <t>P</t>
  </si>
  <si>
    <t>00740C</t>
  </si>
  <si>
    <t>Asst Director Engnring Ops-C</t>
  </si>
  <si>
    <t>A</t>
  </si>
  <si>
    <t>01500C</t>
  </si>
  <si>
    <t>03960C</t>
  </si>
  <si>
    <t>04000C</t>
  </si>
  <si>
    <t>03980C</t>
  </si>
  <si>
    <t>03990C</t>
  </si>
  <si>
    <t>00780C</t>
  </si>
  <si>
    <t>07890C</t>
  </si>
  <si>
    <t>Plan Examiner II Engineer-C</t>
  </si>
  <si>
    <t>09326C</t>
  </si>
  <si>
    <t>09440C</t>
  </si>
  <si>
    <t>Street Maintenance Engineer-C</t>
  </si>
  <si>
    <t>09750C</t>
  </si>
  <si>
    <t>Supt,Environmental Engnrg-C</t>
  </si>
  <si>
    <t>09790C</t>
  </si>
  <si>
    <t>Supt,Water Plant Operations-C</t>
  </si>
  <si>
    <t xml:space="preserve">Provided that employees in this section shall receive the following longevity.  </t>
  </si>
  <si>
    <t>These payments shall be based on a maximum of 80 hours bi-weekly:</t>
  </si>
  <si>
    <t>annual longevity additional at the beginning of the 10th year of service.</t>
  </si>
  <si>
    <t>annual longevity additional at the beginning of the 15th year of service.</t>
  </si>
  <si>
    <t>annual longevity additional at the beginning of the 20th year of service</t>
  </si>
  <si>
    <t>annual longevity additional at the beginning of the 25th year of service.</t>
  </si>
  <si>
    <t>Hazardous Conditions Compensation (Section 10.03)</t>
  </si>
  <si>
    <t xml:space="preserve">Employees who are required to work around or with any of the material and conditions </t>
  </si>
  <si>
    <t>specified herein during any portion of a bi-weekly pay period, shall be paid a hazardous conditions</t>
  </si>
  <si>
    <t xml:space="preserve">premium of $100 for that pay period in addition to his/her regular bi-weekly salary.  </t>
  </si>
  <si>
    <t>On-Call Pay: Payable only when not scheduled to work  (Section 10.02)</t>
  </si>
  <si>
    <t>$35/day for each week day</t>
  </si>
  <si>
    <t>$45/day for each weekend day or holiday</t>
  </si>
  <si>
    <t>Effective: January 1, 2006</t>
  </si>
  <si>
    <t>Job Code</t>
  </si>
  <si>
    <t>Sal Grade</t>
  </si>
  <si>
    <t>Job Title</t>
  </si>
  <si>
    <t>Tot Points</t>
  </si>
  <si>
    <t>Class Grade</t>
  </si>
  <si>
    <t>Step 1</t>
  </si>
  <si>
    <t>Step 2</t>
  </si>
  <si>
    <t>Step 3</t>
  </si>
  <si>
    <t>Step 4</t>
  </si>
  <si>
    <t>Step 5</t>
  </si>
  <si>
    <t>Step 6</t>
  </si>
  <si>
    <t>Step 7</t>
  </si>
  <si>
    <t>E-1</t>
  </si>
  <si>
    <t>Capital Improvement Coord.-C</t>
  </si>
  <si>
    <t>Engineer-C</t>
  </si>
  <si>
    <t>Manager Traffic Policy</t>
  </si>
  <si>
    <t>Principal Professional Engr-C</t>
  </si>
  <si>
    <t>Professional Engineer-C</t>
  </si>
  <si>
    <t>Senior Professional Engineer-C</t>
  </si>
  <si>
    <t>Stnd and Procedures Engineer-C</t>
  </si>
  <si>
    <t>Step 8</t>
  </si>
  <si>
    <t>Provided that eligible employees will receive step progression on their anniversary date.</t>
  </si>
  <si>
    <t>Provided that the wage for all new hires will be reduced by 4% for the first 6 months of employment and thereafter follow section 9.07 of this contract.**</t>
  </si>
  <si>
    <t>Effective: January 1, 2007</t>
  </si>
  <si>
    <t>Effective: March 4, 2007</t>
  </si>
  <si>
    <t>2006 Step 8</t>
  </si>
  <si>
    <t>Provided that employees on step 8 on 12/31/06 receive a one-time $350 lump-sum payment.</t>
  </si>
  <si>
    <t>Effective: December 31, 2007</t>
  </si>
  <si>
    <t xml:space="preserve">Provided that employees on "old" step 1 move to "new" step 1 when old step 1 is eliminated, with no change in step anniversary date. All other </t>
  </si>
  <si>
    <t>move with their salary rate such that there is no salary increase due to the elimination of old step 1.</t>
  </si>
  <si>
    <t>1st 6 months</t>
  </si>
  <si>
    <t xml:space="preserve">Hazardous Conditions Compensation </t>
  </si>
  <si>
    <t xml:space="preserve">On-Call Pay: Payable only when not scheduled to work  </t>
  </si>
  <si>
    <t>Lump Sum</t>
  </si>
  <si>
    <t>Longevity Pay</t>
  </si>
  <si>
    <t>The wage for all new hires will be reduced by 4% for the first 6 months of employment pursuant to section 9.07 of this contract.**</t>
  </si>
  <si>
    <t>The salary rate for all other employees shall remain unchanged upon the elimination of "old" Step 1.</t>
  </si>
  <si>
    <t xml:space="preserve">Employees on "old" Step 1 as of 12/31/2007 move to "new" Step 1 as a result of the elimination of old Step 1 with no change in step anniversary date.  </t>
  </si>
  <si>
    <t>Employees at the top step of the schedule for their respective job title as of 12/31/2006 shall be paid a one-time lump sum of $350.00.</t>
  </si>
  <si>
    <t xml:space="preserve">Employees shall receive the following longevity.  </t>
  </si>
  <si>
    <t>Employees will receive step progression on their anniversary date.</t>
  </si>
  <si>
    <t>Environmental Engineer</t>
  </si>
  <si>
    <t>04106C</t>
  </si>
  <si>
    <t>Environmental Engineer (7/20/07)</t>
  </si>
  <si>
    <t>Eff Date</t>
  </si>
  <si>
    <t>Sal Plan</t>
  </si>
  <si>
    <t>E</t>
  </si>
  <si>
    <t>CEN</t>
  </si>
  <si>
    <t>Environmental Engineer-C</t>
  </si>
  <si>
    <t>Old Step 1</t>
  </si>
  <si>
    <t>Old Step 2</t>
  </si>
  <si>
    <t>Old Step 3</t>
  </si>
  <si>
    <t>Old Step 4</t>
  </si>
  <si>
    <t>Old Step 5</t>
  </si>
  <si>
    <t>Old Step 6</t>
  </si>
  <si>
    <t>Old Step 7</t>
  </si>
  <si>
    <t xml:space="preserve">Environmental Engineer </t>
  </si>
  <si>
    <t xml:space="preserve">Effective: On the first day of the payroll period which includes January 1, 2008: No change to any salary rate. Step movement is allowed. </t>
  </si>
  <si>
    <t xml:space="preserve">Effective: On the first day of the payroll period which includes April 1, 2008: </t>
  </si>
  <si>
    <t xml:space="preserve">Effective: On the first day of the payroll period which includes April 1, 2009: </t>
  </si>
  <si>
    <t>Effective: On the first day of the payroll period which includes January 1, 2010: April 2009 schedule continues. Step movement is allowed.</t>
  </si>
  <si>
    <t>Effective: On the first day of the payroll period which includes April 1, 2010: (Note that Step 1 is eliminated.)</t>
  </si>
  <si>
    <t>Capital Improvement Coord.</t>
  </si>
  <si>
    <t>Engineer</t>
  </si>
  <si>
    <t>Plan Examiner II Engineer</t>
  </si>
  <si>
    <t>Principal Professional Engr</t>
  </si>
  <si>
    <t>Professional Engineer</t>
  </si>
  <si>
    <t>Senior Professional Engineer</t>
  </si>
  <si>
    <t>Street Maintenance Engineer</t>
  </si>
  <si>
    <t>Supt, Environmental Engnrg</t>
  </si>
  <si>
    <t>Supt, Water Plant Operations &amp; Maintenance</t>
  </si>
  <si>
    <t xml:space="preserve">Supt, Water Plant Operations </t>
  </si>
  <si>
    <t xml:space="preserve">Effective: On the first day of the payroll period which includes January 1, 2009: No change to any salary rate, except drop insurance step. </t>
  </si>
  <si>
    <t>Step movement is allowed.</t>
  </si>
  <si>
    <t>Effective: On the first day of the payroll period which includes January 1, 2011:</t>
  </si>
  <si>
    <t>Effective: On the first day of the payroll period which includes January 1, 2012:</t>
  </si>
  <si>
    <t>Regular Step and Longevity Progression Allowed.</t>
  </si>
  <si>
    <t>Longevity Progression Allowed.</t>
  </si>
  <si>
    <t xml:space="preserve">No Regular Step Progression (2012 step progression deferred to 2013 due to lateness of agreement) </t>
  </si>
  <si>
    <t>Effective: On the first day of the payroll period which includes January 1, 2013:</t>
  </si>
  <si>
    <t xml:space="preserve">No Regular Step Progression in 2013 to make up for allowed step movement in 2012. </t>
  </si>
  <si>
    <t xml:space="preserve">(2012 step progression deferred to 2013 due to lateness of agreement) </t>
  </si>
  <si>
    <t>Rates below are the 2012 rates and will change as per the Agreement in 2013 (TBD)</t>
  </si>
  <si>
    <t>Step Progression is allowed.</t>
  </si>
  <si>
    <t>Effective: On the first day of the payroll period which includes March 1, 2016:</t>
  </si>
  <si>
    <t>Effective: On the first day of the payroll period which includes March 1, 2015:</t>
  </si>
  <si>
    <t>Effective: On January 1, 2017:</t>
  </si>
  <si>
    <t>Effective: January 1, 2015:</t>
  </si>
  <si>
    <t>**Effective 1/1/2017, the safety shoe allowance is included in the base salary and is therefore no longer a reimbursement</t>
  </si>
  <si>
    <t>Traffic Operations Engineer</t>
  </si>
  <si>
    <t>Supt, Water Plant Operations</t>
  </si>
  <si>
    <t>10625C</t>
  </si>
  <si>
    <t>Effective: On March 1, 2018</t>
  </si>
  <si>
    <t>**Effective 1/1/2017, the safety shoe allowance was included in the base salary and is therefore no longer a reimbursement</t>
  </si>
  <si>
    <t>verified in COMET 8/16/19 BTM</t>
  </si>
  <si>
    <t>Pay Type</t>
  </si>
  <si>
    <t>Effective: On March 1, 2019</t>
  </si>
  <si>
    <t>Employees shall receive the following longevity:</t>
  </si>
  <si>
    <t>Effective: On February 1, 2020</t>
  </si>
  <si>
    <t>Effective: On February 1, 2021</t>
  </si>
  <si>
    <t>Nelms, Pam :</t>
  </si>
  <si>
    <t xml:space="preserve">Increase all longevity steps 2.5%.  </t>
  </si>
  <si>
    <t xml:space="preserve">No change to On Call Pay </t>
  </si>
  <si>
    <t>Safety Shoe Reimbursement included in Salary Schedule.Employees are required to wear safety shoes as previously required.</t>
  </si>
  <si>
    <t xml:space="preserve">Members contribute $50 per pay period into MSRS Health Savings Account; All Sick leave and all vacation payout goes into MSRS account except in cases of layoff. </t>
  </si>
  <si>
    <t>Effective on March 1, 2018:</t>
  </si>
  <si>
    <t xml:space="preserve">Increase all regular salary steps for all titles  by 2.5%. </t>
  </si>
  <si>
    <t>Brenda Miller</t>
  </si>
  <si>
    <t>10 year - $125</t>
  </si>
  <si>
    <t>15 year - $150</t>
  </si>
  <si>
    <t>20 year - $150</t>
  </si>
  <si>
    <t>25 year - $175</t>
  </si>
  <si>
    <t>Effective March 1, 2019:</t>
  </si>
  <si>
    <t>Increase all longevity steps by  2.5%.</t>
  </si>
  <si>
    <t>Increase all longevity steps by  2.75%.</t>
  </si>
  <si>
    <t>Effective Feb 1, 2020:</t>
  </si>
  <si>
    <t xml:space="preserve">Effective on Feb 1, 2021: </t>
  </si>
  <si>
    <t xml:space="preserve">Increase all regular salary steps for all titles  by 2.75%. </t>
  </si>
  <si>
    <t>Effective January 1, 2019</t>
  </si>
  <si>
    <t>Increase all longevity steps by the following</t>
  </si>
  <si>
    <t>Increase all longevity steps by 2.5%.</t>
  </si>
  <si>
    <t>Effective: On January 1, 2019</t>
  </si>
  <si>
    <t>Completed Audit of March 1, 2019 rates compared to PS rates</t>
  </si>
  <si>
    <t>13</t>
  </si>
  <si>
    <t>01</t>
  </si>
  <si>
    <t>04</t>
  </si>
  <si>
    <t>02</t>
  </si>
  <si>
    <t>05</t>
  </si>
  <si>
    <t>Corrected salary grades</t>
  </si>
  <si>
    <t>/day for each week day</t>
  </si>
  <si>
    <t>/day for each weekend day or holiday</t>
  </si>
  <si>
    <t>CENCDY</t>
  </si>
  <si>
    <t>CENCWE</t>
  </si>
  <si>
    <t>LNGCEN</t>
  </si>
  <si>
    <t>Marie Stupeck</t>
  </si>
  <si>
    <t>Addition of Sewer Operations Engineer salary schedule class grade 13</t>
  </si>
  <si>
    <t>53044C</t>
  </si>
  <si>
    <t>Sewer Operations Engineer</t>
  </si>
  <si>
    <t>Effective: On January 1, 2022</t>
  </si>
  <si>
    <t>Update</t>
  </si>
  <si>
    <t>Y</t>
  </si>
  <si>
    <t>IncrPerc2022</t>
  </si>
  <si>
    <t>Long10</t>
  </si>
  <si>
    <t>Long15</t>
  </si>
  <si>
    <t>Long20</t>
  </si>
  <si>
    <t>Long25</t>
  </si>
  <si>
    <t>per day for each weekend day or holiday</t>
  </si>
  <si>
    <t>per day for each week day</t>
  </si>
  <si>
    <t>N</t>
  </si>
  <si>
    <t>Effective 1/1/2017, the safety shoe allowance was included in the base salary and is therefore no longer a reimbursement</t>
  </si>
  <si>
    <t>IncrPerc2023</t>
  </si>
  <si>
    <t>PayRates2021</t>
  </si>
  <si>
    <t>PayRates2022</t>
  </si>
  <si>
    <t>PayRates2023</t>
  </si>
  <si>
    <t>IncrPerc2024</t>
  </si>
  <si>
    <t>IncrPerc2025</t>
  </si>
  <si>
    <t>PayRates2024</t>
  </si>
  <si>
    <t>Effective: On January 1, 2025</t>
  </si>
  <si>
    <t>Effective: On January 1, 2024</t>
  </si>
  <si>
    <t>Effective: On January 1, 2023</t>
  </si>
  <si>
    <t>HRIS/Payroll</t>
  </si>
  <si>
    <t>Calculations</t>
  </si>
  <si>
    <t>Last updated August 11, 2023</t>
  </si>
  <si>
    <t>City of Minneapolis</t>
  </si>
  <si>
    <t>Last updated 12/10/2024</t>
  </si>
  <si>
    <t>Page 1 of 1</t>
  </si>
  <si>
    <t>Addition of Senior Professional Electrical Engineer</t>
  </si>
  <si>
    <t>59513C</t>
  </si>
  <si>
    <t>Senior Professional Electrical Engineer</t>
  </si>
  <si>
    <t>Last updated August 11, 2025</t>
  </si>
  <si>
    <t>Data2025</t>
  </si>
  <si>
    <t>IncrPerc2026</t>
  </si>
  <si>
    <t xml:space="preserve">Equity Increase </t>
  </si>
  <si>
    <t>Data2026</t>
  </si>
  <si>
    <t>Effective: On January 1, 2026</t>
  </si>
  <si>
    <t>Last updated February 27, 2026</t>
  </si>
  <si>
    <t>1.5% Equity Increase</t>
  </si>
  <si>
    <t>Effective: On January 1, 2027</t>
  </si>
  <si>
    <t>Effective: On January 1, 2028</t>
  </si>
  <si>
    <t>Data2027</t>
  </si>
  <si>
    <t>IncrPerc2027</t>
  </si>
  <si>
    <t>IncrPerc2028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</si>
</sst>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164" formatCode="0;[Red]0"/>
    <numFmt numFmtId="165" formatCode="&quot;$&quot;#,##0"/>
    <numFmt numFmtId="166" formatCode="&quot;$&quot;#,##0.00"/>
    <numFmt numFmtId="167" formatCode="0.000000"/>
    <numFmt numFmtId="168" formatCode="&quot;$&quot;#,##0.000"/>
    <numFmt numFmtId="169" formatCode="0.0%"/>
  </numFmts>
  <fonts count="27">
    <font>
      <sz val="10"/>
      <name val="Arial"/>
    </font>
    <font>
      <sz val="10"/>
      <name val="Arial"/>
      <family val="2"/>
    </font>
    <font>
      <b/>
      <sz val="16"/>
      <name val="Arial"/>
      <family val="2"/>
    </font>
    <font>
      <b/>
      <sz val="10"/>
      <name val="Arial"/>
      <family val="2"/>
    </font>
    <font>
      <sz val="10"/>
      <name val="Arial"/>
      <family val="2"/>
    </font>
    <font>
      <b/>
      <sz val="9"/>
      <name val="Arial"/>
      <family val="2"/>
    </font>
    <font>
      <sz val="9"/>
      <name val="Arial"/>
      <family val="2"/>
    </font>
    <font>
      <b/>
      <sz val="9"/>
      <name val="Helv"/>
    </font>
    <font>
      <sz val="9"/>
      <name val="Helv"/>
    </font>
    <font>
      <sz val="9"/>
      <name val="Arial"/>
      <family val="2"/>
    </font>
    <font>
      <b/>
      <sz val="10"/>
      <name val="Arial"/>
      <family val="2"/>
    </font>
    <font>
      <sz val="8"/>
      <color indexed="81"/>
      <name val="Tahoma"/>
      <family val="2"/>
    </font>
    <font>
      <b/>
      <sz val="8"/>
      <color indexed="81"/>
      <name val="Tahoma"/>
      <family val="2"/>
    </font>
    <font>
      <b/>
      <sz val="10"/>
      <name val="Arial Unicode MS"/>
      <family val="2"/>
    </font>
    <font>
      <sz val="10"/>
      <name val="Arial Unicode MS"/>
      <family val="2"/>
    </font>
    <font>
      <strike/>
      <sz val="10"/>
      <name val="Arial"/>
      <family val="2"/>
    </font>
    <font>
      <b/>
      <sz val="10"/>
      <color rgb="FFFF0000"/>
      <name val="Arial"/>
      <family val="2"/>
    </font>
    <font>
      <sz val="10"/>
      <name val="Calibri"/>
      <family val="2"/>
      <scheme val="minor"/>
    </font>
    <font>
      <b/>
      <sz val="10"/>
      <name val="Calibri"/>
      <family val="2"/>
      <scheme val="minor"/>
    </font>
    <font>
      <b/>
      <sz val="10"/>
      <color rgb="FFFF0000"/>
      <name val="Calibri"/>
      <family val="2"/>
      <scheme val="minor"/>
    </font>
    <font>
      <b/>
      <sz val="9"/>
      <name val="Calibri"/>
      <family val="2"/>
      <scheme val="minor"/>
    </font>
    <font>
      <sz val="9"/>
      <name val="Calibri"/>
      <family val="2"/>
      <scheme val="minor"/>
    </font>
    <font>
      <sz val="10"/>
      <color theme="0"/>
      <name val="Calibri"/>
      <family val="2"/>
      <scheme val="minor"/>
    </font>
    <font>
      <b/>
      <sz val="16"/>
      <name val="Calibri"/>
      <family val="2"/>
      <scheme val="minor"/>
    </font>
    <font>
      <i/>
      <sz val="10"/>
      <name val="Calibri"/>
      <family val="2"/>
      <scheme val="minor"/>
    </font>
    <font>
      <sz val="18"/>
      <name val="Calibri"/>
      <family val="2"/>
      <scheme val="minor"/>
    </font>
    <font>
      <sz val="10"/>
      <name val="Arial"/>
      <family val="2"/>
    </font>
  </fonts>
  <fills count="10">
    <fill>
      <patternFill patternType="none"/>
    </fill>
    <fill>
      <patternFill patternType="gray125"/>
    </fill>
    <fill>
      <patternFill patternType="solid">
        <fgColor indexed="13"/>
        <bgColor indexed="64"/>
      </patternFill>
    </fill>
    <fill>
      <patternFill patternType="solid">
        <fgColor indexed="22"/>
        <bgColor indexed="64"/>
      </patternFill>
    </fill>
    <fill>
      <patternFill patternType="solid">
        <fgColor indexed="23"/>
        <bgColor indexed="64"/>
      </patternFill>
    </fill>
    <fill>
      <patternFill patternType="solid">
        <fgColor theme="6" tint="0.59999389629810485"/>
        <bgColor indexed="64"/>
      </patternFill>
    </fill>
    <fill>
      <patternFill patternType="solid">
        <fgColor theme="6"/>
        <bgColor indexed="64"/>
      </patternFill>
    </fill>
    <fill>
      <patternFill patternType="solid">
        <fgColor rgb="FFFFC000"/>
        <bgColor indexed="64"/>
      </patternFill>
    </fill>
    <fill>
      <patternFill patternType="solid">
        <fgColor rgb="FF92D050"/>
        <bgColor indexed="64"/>
      </patternFill>
    </fill>
    <fill>
      <patternFill patternType="solid">
        <fgColor theme="2"/>
        <bgColor indexed="64"/>
      </patternFill>
    </fill>
  </fills>
  <borders count="3">
    <border>
      <left/>
      <right/>
      <top/>
      <bottom/>
      <diagonal/>
    </border>
    <border>
      <left/>
      <right/>
      <top/>
      <bottom style="double">
        <color indexed="64"/>
      </bottom>
      <diagonal/>
    </border>
    <border>
      <left style="double">
        <color indexed="64"/>
      </left>
      <right style="double">
        <color indexed="64"/>
      </right>
      <top style="double">
        <color indexed="64"/>
      </top>
      <bottom style="double">
        <color indexed="64"/>
      </bottom>
      <diagonal/>
    </border>
  </borders>
  <cellStyleXfs count="5">
    <xf numFmtId="0" fontId="0" fillId="0" borderId="0"/>
    <xf numFmtId="0" fontId="14" fillId="0" borderId="0"/>
    <xf numFmtId="164" fontId="1" fillId="0" borderId="0"/>
    <xf numFmtId="164" fontId="1" fillId="0" borderId="0"/>
    <xf numFmtId="9" fontId="26" fillId="0" borderId="0" applyFont="0" applyFill="0" applyBorder="0" applyAlignment="0" applyProtection="0"/>
  </cellStyleXfs>
  <cellXfs count="190">
    <xf numFmtId="0" fontId="0" fillId="0" borderId="0" xfId="0"/>
    <xf numFmtId="164" fontId="3" fillId="0" borderId="0" xfId="2" applyFont="1" applyFill="1" applyAlignment="1">
      <alignment horizontal="left"/>
    </xf>
    <xf numFmtId="164" fontId="4" fillId="0" borderId="0" xfId="2" applyFont="1" applyFill="1" applyAlignment="1">
      <alignment horizontal="center"/>
    </xf>
    <xf numFmtId="164" fontId="4" fillId="0" borderId="0" xfId="2" applyFont="1" applyFill="1" applyAlignment="1">
      <alignment horizontal="left"/>
    </xf>
    <xf numFmtId="164" fontId="3" fillId="0" borderId="0" xfId="2" applyFont="1" applyFill="1" applyAlignment="1">
      <alignment horizontal="center"/>
    </xf>
    <xf numFmtId="15" fontId="3" fillId="0" borderId="0" xfId="2" applyNumberFormat="1" applyFont="1" applyFill="1"/>
    <xf numFmtId="0" fontId="3" fillId="0" borderId="0" xfId="0" applyFont="1" applyFill="1" applyAlignment="1" applyProtection="1">
      <alignment horizontal="center"/>
    </xf>
    <xf numFmtId="0" fontId="4" fillId="0" borderId="0" xfId="0" applyFont="1" applyFill="1" applyAlignment="1">
      <alignment horizontal="center"/>
    </xf>
    <xf numFmtId="15" fontId="5" fillId="0" borderId="0" xfId="2" applyNumberFormat="1" applyFont="1" applyFill="1"/>
    <xf numFmtId="0" fontId="6" fillId="0" borderId="0" xfId="0" applyFont="1" applyFill="1" applyAlignment="1">
      <alignment horizontal="left"/>
    </xf>
    <xf numFmtId="164" fontId="6" fillId="0" borderId="0" xfId="2" applyFont="1" applyFill="1"/>
    <xf numFmtId="164" fontId="6" fillId="0" borderId="0" xfId="2" applyFont="1" applyFill="1" applyAlignment="1">
      <alignment horizontal="center"/>
    </xf>
    <xf numFmtId="164" fontId="5" fillId="0" borderId="0" xfId="2" applyFont="1" applyFill="1" applyAlignment="1">
      <alignment horizontal="center"/>
    </xf>
    <xf numFmtId="164" fontId="7" fillId="0" borderId="0" xfId="3" applyFont="1" applyFill="1" applyAlignment="1">
      <alignment horizontal="left"/>
    </xf>
    <xf numFmtId="164" fontId="8" fillId="0" borderId="0" xfId="3" applyFont="1" applyFill="1" applyAlignment="1">
      <alignment horizontal="center"/>
    </xf>
    <xf numFmtId="164" fontId="6" fillId="0" borderId="0" xfId="3" applyFont="1" applyFill="1" applyAlignment="1">
      <alignment horizontal="left"/>
    </xf>
    <xf numFmtId="164" fontId="6" fillId="0" borderId="0" xfId="3" applyFont="1" applyFill="1" applyAlignment="1">
      <alignment horizontal="center"/>
    </xf>
    <xf numFmtId="164" fontId="5" fillId="0" borderId="0" xfId="3" applyFont="1" applyFill="1" applyAlignment="1">
      <alignment horizontal="center"/>
    </xf>
    <xf numFmtId="165" fontId="6" fillId="0" borderId="0" xfId="0" applyNumberFormat="1" applyFont="1" applyFill="1" applyAlignment="1">
      <alignment horizontal="right"/>
    </xf>
    <xf numFmtId="0" fontId="0" fillId="0" borderId="0" xfId="0" applyFill="1"/>
    <xf numFmtId="0" fontId="0" fillId="0" borderId="0" xfId="0" applyFill="1" applyAlignment="1">
      <alignment horizontal="center"/>
    </xf>
    <xf numFmtId="0" fontId="5" fillId="0" borderId="0" xfId="0" applyFont="1" applyFill="1" applyAlignment="1">
      <alignment horizontal="left"/>
    </xf>
    <xf numFmtId="0" fontId="5" fillId="0" borderId="0" xfId="0" applyFont="1" applyFill="1" applyAlignment="1">
      <alignment horizontal="center"/>
    </xf>
    <xf numFmtId="0" fontId="5" fillId="0" borderId="0" xfId="0" applyFont="1" applyFill="1"/>
    <xf numFmtId="0" fontId="5" fillId="0" borderId="0" xfId="0" applyFont="1" applyFill="1" applyAlignment="1"/>
    <xf numFmtId="3" fontId="0" fillId="0" borderId="0" xfId="0" applyNumberFormat="1" applyFill="1"/>
    <xf numFmtId="0" fontId="4" fillId="0" borderId="0" xfId="0" applyFont="1" applyFill="1"/>
    <xf numFmtId="0" fontId="9" fillId="0" borderId="0" xfId="0" applyFont="1" applyFill="1" applyAlignment="1" applyProtection="1">
      <alignment horizontal="left"/>
    </xf>
    <xf numFmtId="0" fontId="5" fillId="0" borderId="0" xfId="0" applyFont="1" applyFill="1" applyAlignment="1" applyProtection="1">
      <alignment horizontal="center"/>
    </xf>
    <xf numFmtId="0" fontId="9" fillId="0" borderId="0" xfId="0" applyFont="1" applyFill="1" applyAlignment="1">
      <alignment horizontal="left"/>
    </xf>
    <xf numFmtId="0" fontId="3" fillId="0" borderId="0" xfId="0" applyFont="1" applyFill="1"/>
    <xf numFmtId="0" fontId="4" fillId="0" borderId="0" xfId="0" applyFont="1" applyFill="1" applyAlignment="1"/>
    <xf numFmtId="0" fontId="0" fillId="0" borderId="0" xfId="0" applyFill="1" applyBorder="1" applyAlignment="1">
      <alignment wrapText="1"/>
    </xf>
    <xf numFmtId="0" fontId="0" fillId="0" borderId="0" xfId="0" applyFill="1" applyBorder="1" applyAlignment="1">
      <alignment horizontal="center" wrapText="1"/>
    </xf>
    <xf numFmtId="0" fontId="10" fillId="0" borderId="1" xfId="0" applyFont="1" applyFill="1" applyBorder="1" applyAlignment="1">
      <alignment horizontal="center" vertical="center" wrapText="1"/>
    </xf>
    <xf numFmtId="0" fontId="3" fillId="0" borderId="1" xfId="0" applyFont="1" applyFill="1" applyBorder="1"/>
    <xf numFmtId="0" fontId="3" fillId="0" borderId="1" xfId="0" applyFont="1" applyFill="1" applyBorder="1" applyAlignment="1">
      <alignment horizontal="center"/>
    </xf>
    <xf numFmtId="165" fontId="0" fillId="0" borderId="0" xfId="0" applyNumberFormat="1" applyFill="1" applyAlignment="1">
      <alignment horizontal="center"/>
    </xf>
    <xf numFmtId="165" fontId="0" fillId="0" borderId="0" xfId="0" applyNumberFormat="1" applyFill="1"/>
    <xf numFmtId="164" fontId="5" fillId="0" borderId="0" xfId="2" applyFont="1" applyFill="1" applyAlignment="1">
      <alignment horizontal="left"/>
    </xf>
    <xf numFmtId="15" fontId="3" fillId="2" borderId="0" xfId="2" applyNumberFormat="1" applyFont="1" applyFill="1"/>
    <xf numFmtId="164" fontId="3" fillId="2" borderId="0" xfId="2" applyFont="1" applyFill="1" applyAlignment="1">
      <alignment horizontal="center"/>
    </xf>
    <xf numFmtId="164" fontId="3" fillId="2" borderId="0" xfId="2" applyFont="1" applyFill="1" applyAlignment="1">
      <alignment horizontal="left"/>
    </xf>
    <xf numFmtId="0" fontId="3" fillId="2" borderId="0" xfId="0" applyFont="1" applyFill="1" applyAlignment="1" applyProtection="1">
      <alignment horizontal="center"/>
    </xf>
    <xf numFmtId="0" fontId="0" fillId="2" borderId="0" xfId="0" applyFill="1"/>
    <xf numFmtId="0" fontId="3" fillId="0" borderId="0" xfId="0" applyFont="1" applyFill="1" applyBorder="1" applyAlignment="1">
      <alignment horizontal="center"/>
    </xf>
    <xf numFmtId="0" fontId="0" fillId="0" borderId="0" xfId="0" applyFill="1" applyBorder="1" applyAlignment="1">
      <alignment horizontal="left"/>
    </xf>
    <xf numFmtId="0" fontId="3" fillId="0" borderId="1" xfId="0" applyFont="1" applyFill="1" applyBorder="1" applyAlignment="1">
      <alignment wrapText="1"/>
    </xf>
    <xf numFmtId="15" fontId="4" fillId="0" borderId="0" xfId="2" applyNumberFormat="1" applyFont="1" applyFill="1"/>
    <xf numFmtId="49" fontId="13" fillId="3" borderId="2" xfId="1" applyNumberFormat="1" applyFont="1" applyFill="1" applyBorder="1"/>
    <xf numFmtId="0" fontId="14" fillId="2" borderId="0" xfId="1" applyFill="1"/>
    <xf numFmtId="0" fontId="14" fillId="0" borderId="0" xfId="1"/>
    <xf numFmtId="14" fontId="14" fillId="0" borderId="0" xfId="1" applyNumberFormat="1"/>
    <xf numFmtId="49" fontId="14" fillId="0" borderId="0" xfId="1" applyNumberFormat="1"/>
    <xf numFmtId="0" fontId="0" fillId="0" borderId="0" xfId="0" applyFill="1" applyProtection="1">
      <protection hidden="1"/>
    </xf>
    <xf numFmtId="164" fontId="3" fillId="0" borderId="0" xfId="2" applyFont="1" applyFill="1" applyAlignment="1" applyProtection="1">
      <alignment horizontal="left"/>
      <protection hidden="1"/>
    </xf>
    <xf numFmtId="164" fontId="4" fillId="0" borderId="0" xfId="2" applyFont="1" applyFill="1" applyAlignment="1" applyProtection="1">
      <alignment horizontal="center"/>
      <protection hidden="1"/>
    </xf>
    <xf numFmtId="164" fontId="4" fillId="0" borderId="0" xfId="2" applyFont="1" applyFill="1" applyAlignment="1" applyProtection="1">
      <alignment horizontal="left"/>
      <protection hidden="1"/>
    </xf>
    <xf numFmtId="164" fontId="3" fillId="0" borderId="0" xfId="2" applyFont="1" applyFill="1" applyAlignment="1" applyProtection="1">
      <alignment horizontal="center"/>
      <protection hidden="1"/>
    </xf>
    <xf numFmtId="15" fontId="3" fillId="0" borderId="0" xfId="2" applyNumberFormat="1" applyFont="1" applyFill="1" applyProtection="1">
      <protection hidden="1"/>
    </xf>
    <xf numFmtId="0" fontId="3" fillId="0" borderId="0" xfId="0" applyFont="1" applyFill="1" applyAlignment="1" applyProtection="1">
      <alignment horizontal="center"/>
      <protection hidden="1"/>
    </xf>
    <xf numFmtId="0" fontId="10" fillId="0" borderId="1" xfId="0" applyFont="1" applyFill="1" applyBorder="1" applyAlignment="1" applyProtection="1">
      <alignment horizontal="center" vertical="center" wrapText="1"/>
      <protection hidden="1"/>
    </xf>
    <xf numFmtId="0" fontId="3" fillId="0" borderId="1" xfId="0" applyFont="1" applyFill="1" applyBorder="1" applyProtection="1">
      <protection hidden="1"/>
    </xf>
    <xf numFmtId="0" fontId="3" fillId="0" borderId="1" xfId="0" applyFont="1" applyFill="1" applyBorder="1" applyAlignment="1" applyProtection="1">
      <alignment horizontal="center"/>
      <protection hidden="1"/>
    </xf>
    <xf numFmtId="0" fontId="0" fillId="0" borderId="0" xfId="0" applyFill="1" applyBorder="1" applyAlignment="1" applyProtection="1">
      <alignment horizontal="center" wrapText="1"/>
      <protection hidden="1"/>
    </xf>
    <xf numFmtId="0" fontId="0" fillId="0" borderId="0" xfId="0" applyFill="1" applyBorder="1" applyAlignment="1" applyProtection="1">
      <alignment wrapText="1"/>
      <protection hidden="1"/>
    </xf>
    <xf numFmtId="165" fontId="0" fillId="0" borderId="0" xfId="0" applyNumberFormat="1" applyFill="1" applyAlignment="1" applyProtection="1">
      <alignment horizontal="center"/>
      <protection hidden="1"/>
    </xf>
    <xf numFmtId="165" fontId="0" fillId="0" borderId="0" xfId="0" applyNumberFormat="1" applyFill="1" applyProtection="1">
      <protection hidden="1"/>
    </xf>
    <xf numFmtId="0" fontId="5" fillId="0" borderId="0" xfId="0" applyFont="1" applyFill="1" applyAlignment="1" applyProtection="1">
      <protection hidden="1"/>
    </xf>
    <xf numFmtId="0" fontId="4" fillId="0" borderId="0" xfId="0" applyFont="1" applyFill="1" applyAlignment="1" applyProtection="1">
      <alignment horizontal="center"/>
      <protection hidden="1"/>
    </xf>
    <xf numFmtId="0" fontId="4" fillId="0" borderId="0" xfId="0" applyFont="1" applyFill="1" applyProtection="1">
      <protection hidden="1"/>
    </xf>
    <xf numFmtId="0" fontId="5" fillId="0" borderId="0" xfId="0" applyFont="1" applyFill="1" applyAlignment="1" applyProtection="1">
      <alignment horizontal="center"/>
      <protection hidden="1"/>
    </xf>
    <xf numFmtId="0" fontId="5" fillId="0" borderId="0" xfId="0" applyFont="1" applyFill="1" applyProtection="1">
      <protection hidden="1"/>
    </xf>
    <xf numFmtId="0" fontId="3" fillId="0" borderId="0" xfId="0" applyFont="1" applyFill="1" applyProtection="1">
      <protection hidden="1"/>
    </xf>
    <xf numFmtId="0" fontId="0" fillId="0" borderId="0" xfId="0" applyFill="1" applyAlignment="1" applyProtection="1">
      <alignment horizontal="center"/>
      <protection hidden="1"/>
    </xf>
    <xf numFmtId="0" fontId="4" fillId="0" borderId="0" xfId="0" applyFont="1" applyFill="1" applyAlignment="1" applyProtection="1">
      <protection hidden="1"/>
    </xf>
    <xf numFmtId="0" fontId="9" fillId="0" borderId="0" xfId="0" applyFont="1" applyFill="1" applyAlignment="1" applyProtection="1">
      <alignment horizontal="left"/>
      <protection hidden="1"/>
    </xf>
    <xf numFmtId="0" fontId="3" fillId="4" borderId="1" xfId="0" applyFont="1" applyFill="1" applyBorder="1" applyAlignment="1" applyProtection="1">
      <alignment horizontal="center"/>
      <protection hidden="1"/>
    </xf>
    <xf numFmtId="0" fontId="3" fillId="4" borderId="0" xfId="0" applyFont="1" applyFill="1" applyBorder="1" applyAlignment="1" applyProtection="1">
      <alignment horizontal="center"/>
      <protection hidden="1"/>
    </xf>
    <xf numFmtId="0" fontId="0" fillId="4" borderId="0" xfId="0" applyFill="1" applyProtection="1">
      <protection hidden="1"/>
    </xf>
    <xf numFmtId="0" fontId="3" fillId="0" borderId="0" xfId="0" applyFont="1" applyFill="1" applyBorder="1" applyAlignment="1" applyProtection="1">
      <alignment horizontal="center"/>
      <protection hidden="1"/>
    </xf>
    <xf numFmtId="165" fontId="0" fillId="4" borderId="0" xfId="0" applyNumberFormat="1" applyFill="1" applyAlignment="1" applyProtection="1">
      <alignment horizontal="center"/>
      <protection hidden="1"/>
    </xf>
    <xf numFmtId="0" fontId="15" fillId="0" borderId="0" xfId="0" applyFont="1" applyFill="1" applyBorder="1" applyAlignment="1" applyProtection="1">
      <alignment horizontal="center" wrapText="1"/>
      <protection hidden="1"/>
    </xf>
    <xf numFmtId="0" fontId="15" fillId="0" borderId="0" xfId="0" applyFont="1" applyFill="1" applyBorder="1" applyAlignment="1" applyProtection="1">
      <alignment wrapText="1"/>
      <protection hidden="1"/>
    </xf>
    <xf numFmtId="0" fontId="15" fillId="0" borderId="0" xfId="0" applyFont="1" applyFill="1" applyProtection="1">
      <protection hidden="1"/>
    </xf>
    <xf numFmtId="165" fontId="15" fillId="0" borderId="0" xfId="0" applyNumberFormat="1" applyFont="1" applyFill="1" applyAlignment="1" applyProtection="1">
      <alignment horizontal="center"/>
      <protection hidden="1"/>
    </xf>
    <xf numFmtId="49" fontId="0" fillId="0" borderId="0" xfId="0" applyNumberFormat="1"/>
    <xf numFmtId="167" fontId="0" fillId="0" borderId="0" xfId="0" applyNumberFormat="1"/>
    <xf numFmtId="165" fontId="0" fillId="0" borderId="0" xfId="0" applyNumberFormat="1"/>
    <xf numFmtId="0" fontId="4" fillId="0" borderId="0" xfId="0" applyFont="1" applyFill="1" applyBorder="1" applyAlignment="1" applyProtection="1">
      <alignment wrapText="1"/>
      <protection hidden="1"/>
    </xf>
    <xf numFmtId="15" fontId="16" fillId="0" borderId="0" xfId="2" applyNumberFormat="1" applyFont="1" applyFill="1" applyProtection="1">
      <protection hidden="1"/>
    </xf>
    <xf numFmtId="164" fontId="16" fillId="0" borderId="0" xfId="2" applyFont="1" applyFill="1" applyAlignment="1" applyProtection="1">
      <alignment horizontal="center"/>
      <protection hidden="1"/>
    </xf>
    <xf numFmtId="164" fontId="16" fillId="0" borderId="0" xfId="2" applyFont="1" applyFill="1" applyAlignment="1" applyProtection="1">
      <alignment horizontal="left"/>
      <protection hidden="1"/>
    </xf>
    <xf numFmtId="0" fontId="17" fillId="0" borderId="0" xfId="0" applyFont="1" applyFill="1" applyProtection="1">
      <protection hidden="1"/>
    </xf>
    <xf numFmtId="164" fontId="18" fillId="0" borderId="0" xfId="2" applyFont="1" applyFill="1" applyAlignment="1" applyProtection="1">
      <alignment horizontal="left"/>
      <protection hidden="1"/>
    </xf>
    <xf numFmtId="164" fontId="17" fillId="0" borderId="0" xfId="2" applyFont="1" applyFill="1" applyAlignment="1" applyProtection="1">
      <alignment horizontal="center"/>
      <protection hidden="1"/>
    </xf>
    <xf numFmtId="164" fontId="17" fillId="0" borderId="0" xfId="2" applyFont="1" applyFill="1" applyAlignment="1" applyProtection="1">
      <alignment horizontal="left"/>
      <protection hidden="1"/>
    </xf>
    <xf numFmtId="164" fontId="18" fillId="0" borderId="0" xfId="2" applyFont="1" applyFill="1" applyAlignment="1" applyProtection="1">
      <alignment horizontal="center"/>
      <protection hidden="1"/>
    </xf>
    <xf numFmtId="164" fontId="19" fillId="0" borderId="0" xfId="2" applyFont="1" applyFill="1" applyAlignment="1" applyProtection="1">
      <alignment horizontal="center"/>
      <protection hidden="1"/>
    </xf>
    <xf numFmtId="164" fontId="19" fillId="0" borderId="0" xfId="2" applyFont="1" applyFill="1" applyAlignment="1" applyProtection="1">
      <alignment horizontal="left"/>
      <protection hidden="1"/>
    </xf>
    <xf numFmtId="0" fontId="18" fillId="0" borderId="1" xfId="0" applyFont="1" applyFill="1" applyBorder="1" applyAlignment="1" applyProtection="1">
      <alignment horizontal="center" vertical="center" wrapText="1"/>
      <protection hidden="1"/>
    </xf>
    <xf numFmtId="0" fontId="18" fillId="0" borderId="1" xfId="0" applyFont="1" applyFill="1" applyBorder="1" applyProtection="1">
      <protection hidden="1"/>
    </xf>
    <xf numFmtId="0" fontId="18" fillId="0" borderId="1" xfId="0" applyFont="1" applyFill="1" applyBorder="1" applyAlignment="1" applyProtection="1">
      <alignment horizontal="center"/>
      <protection hidden="1"/>
    </xf>
    <xf numFmtId="0" fontId="18" fillId="0" borderId="0" xfId="0" applyFont="1" applyFill="1" applyBorder="1" applyAlignment="1" applyProtection="1">
      <alignment horizontal="center"/>
      <protection hidden="1"/>
    </xf>
    <xf numFmtId="0" fontId="17" fillId="0" borderId="0" xfId="0" applyFont="1" applyFill="1" applyBorder="1" applyAlignment="1" applyProtection="1">
      <alignment horizontal="center" wrapText="1"/>
      <protection hidden="1"/>
    </xf>
    <xf numFmtId="0" fontId="17" fillId="0" borderId="0" xfId="0" applyFont="1" applyFill="1" applyBorder="1" applyAlignment="1" applyProtection="1">
      <alignment wrapText="1"/>
      <protection hidden="1"/>
    </xf>
    <xf numFmtId="165" fontId="17" fillId="0" borderId="0" xfId="0" applyNumberFormat="1" applyFont="1" applyFill="1" applyAlignment="1" applyProtection="1">
      <alignment horizontal="center"/>
      <protection hidden="1"/>
    </xf>
    <xf numFmtId="0" fontId="17" fillId="0" borderId="0" xfId="0" applyFont="1"/>
    <xf numFmtId="49" fontId="17" fillId="0" borderId="0" xfId="0" applyNumberFormat="1" applyFont="1"/>
    <xf numFmtId="167" fontId="17" fillId="0" borderId="0" xfId="0" applyNumberFormat="1" applyFont="1"/>
    <xf numFmtId="165" fontId="17" fillId="0" borderId="0" xfId="0" applyNumberFormat="1" applyFont="1"/>
    <xf numFmtId="0" fontId="20" fillId="0" borderId="0" xfId="0" applyFont="1" applyFill="1" applyAlignment="1" applyProtection="1">
      <protection hidden="1"/>
    </xf>
    <xf numFmtId="0" fontId="17" fillId="0" borderId="0" xfId="0" applyFont="1" applyFill="1" applyAlignment="1" applyProtection="1">
      <alignment horizontal="center"/>
      <protection hidden="1"/>
    </xf>
    <xf numFmtId="0" fontId="20" fillId="0" borderId="0" xfId="0" applyFont="1" applyFill="1" applyAlignment="1" applyProtection="1">
      <alignment horizontal="center"/>
      <protection hidden="1"/>
    </xf>
    <xf numFmtId="0" fontId="20" fillId="0" borderId="0" xfId="0" applyFont="1" applyFill="1" applyProtection="1">
      <protection hidden="1"/>
    </xf>
    <xf numFmtId="0" fontId="18" fillId="0" borderId="0" xfId="0" applyFont="1" applyFill="1" applyProtection="1">
      <protection hidden="1"/>
    </xf>
    <xf numFmtId="165" fontId="17" fillId="0" borderId="0" xfId="0" applyNumberFormat="1" applyFont="1" applyFill="1" applyProtection="1">
      <protection hidden="1"/>
    </xf>
    <xf numFmtId="0" fontId="17" fillId="0" borderId="0" xfId="0" applyFont="1" applyFill="1" applyAlignment="1" applyProtection="1">
      <protection hidden="1"/>
    </xf>
    <xf numFmtId="15" fontId="18" fillId="0" borderId="0" xfId="2" applyNumberFormat="1" applyFont="1" applyFill="1" applyProtection="1">
      <protection hidden="1"/>
    </xf>
    <xf numFmtId="0" fontId="21" fillId="0" borderId="0" xfId="0" applyFont="1" applyFill="1" applyAlignment="1" applyProtection="1">
      <alignment horizontal="left"/>
      <protection hidden="1"/>
    </xf>
    <xf numFmtId="0" fontId="22" fillId="0" borderId="0" xfId="0" applyFont="1"/>
    <xf numFmtId="0" fontId="6" fillId="0" borderId="0" xfId="0" applyFont="1" applyFill="1" applyAlignment="1" applyProtection="1">
      <protection hidden="1"/>
    </xf>
    <xf numFmtId="165" fontId="17" fillId="5" borderId="0" xfId="0" applyNumberFormat="1" applyFont="1" applyFill="1" applyAlignment="1" applyProtection="1">
      <alignment horizontal="center"/>
      <protection hidden="1"/>
    </xf>
    <xf numFmtId="164" fontId="18" fillId="5" borderId="0" xfId="2" applyFont="1" applyFill="1" applyAlignment="1" applyProtection="1">
      <alignment horizontal="center"/>
      <protection hidden="1"/>
    </xf>
    <xf numFmtId="164" fontId="18" fillId="0" borderId="0" xfId="2" applyFont="1" applyFill="1" applyAlignment="1" applyProtection="1">
      <alignment horizontal="center"/>
      <protection hidden="1"/>
    </xf>
    <xf numFmtId="166" fontId="17" fillId="0" borderId="0" xfId="0" applyNumberFormat="1" applyFont="1" applyFill="1" applyProtection="1">
      <protection hidden="1"/>
    </xf>
    <xf numFmtId="0" fontId="18" fillId="0" borderId="1" xfId="0" applyFont="1" applyFill="1" applyBorder="1" applyAlignment="1" applyProtection="1">
      <alignment horizontal="center" wrapText="1"/>
      <protection hidden="1"/>
    </xf>
    <xf numFmtId="0" fontId="18" fillId="0" borderId="1" xfId="0" applyFont="1" applyFill="1" applyBorder="1" applyAlignment="1" applyProtection="1">
      <alignment wrapText="1"/>
      <protection hidden="1"/>
    </xf>
    <xf numFmtId="165" fontId="17" fillId="0" borderId="0" xfId="0" applyNumberFormat="1" applyFont="1" applyFill="1" applyAlignment="1" applyProtection="1">
      <alignment horizontal="right"/>
      <protection hidden="1"/>
    </xf>
    <xf numFmtId="164" fontId="18" fillId="0" borderId="0" xfId="2" applyFont="1" applyFill="1" applyAlignment="1" applyProtection="1">
      <alignment horizontal="center"/>
      <protection hidden="1"/>
    </xf>
    <xf numFmtId="0" fontId="4" fillId="0" borderId="0" xfId="0" applyFont="1"/>
    <xf numFmtId="0" fontId="0" fillId="0" borderId="0" xfId="0" applyAlignment="1">
      <alignment horizontal="left" indent="1"/>
    </xf>
    <xf numFmtId="0" fontId="0" fillId="0" borderId="0" xfId="0" applyAlignment="1">
      <alignment horizontal="left"/>
    </xf>
    <xf numFmtId="0" fontId="0" fillId="0" borderId="0" xfId="0" applyAlignment="1">
      <alignment horizontal="left" indent="2"/>
    </xf>
    <xf numFmtId="0" fontId="4" fillId="0" borderId="0" xfId="0" applyFont="1" applyAlignment="1">
      <alignment horizontal="left" indent="1"/>
    </xf>
    <xf numFmtId="0" fontId="4" fillId="0" borderId="0" xfId="0" applyFont="1" applyAlignment="1">
      <alignment horizontal="left"/>
    </xf>
    <xf numFmtId="14" fontId="0" fillId="0" borderId="0" xfId="0" applyNumberFormat="1"/>
    <xf numFmtId="164" fontId="18" fillId="0" borderId="0" xfId="2" applyFont="1" applyFill="1" applyAlignment="1" applyProtection="1">
      <alignment horizontal="center"/>
      <protection hidden="1"/>
    </xf>
    <xf numFmtId="49" fontId="17" fillId="0" borderId="0" xfId="0" applyNumberFormat="1" applyFont="1" applyAlignment="1" applyProtection="1">
      <alignment horizontal="center" wrapText="1"/>
      <protection hidden="1"/>
    </xf>
    <xf numFmtId="49" fontId="17" fillId="0" borderId="0" xfId="0" applyNumberFormat="1" applyFont="1" applyAlignment="1" applyProtection="1">
      <alignment horizontal="center"/>
      <protection hidden="1"/>
    </xf>
    <xf numFmtId="14" fontId="4" fillId="0" borderId="0" xfId="0" applyNumberFormat="1" applyFont="1"/>
    <xf numFmtId="0" fontId="22" fillId="0" borderId="0" xfId="0" applyFont="1" applyProtection="1">
      <protection hidden="1"/>
    </xf>
    <xf numFmtId="0" fontId="17" fillId="0" borderId="0" xfId="0" applyFont="1" applyProtection="1">
      <protection hidden="1"/>
    </xf>
    <xf numFmtId="1" fontId="17" fillId="0" borderId="0" xfId="0" applyNumberFormat="1" applyFont="1" applyFill="1" applyProtection="1">
      <protection hidden="1"/>
    </xf>
    <xf numFmtId="0" fontId="17" fillId="6" borderId="0" xfId="0" applyFont="1" applyFill="1" applyProtection="1">
      <protection hidden="1"/>
    </xf>
    <xf numFmtId="0" fontId="18" fillId="6" borderId="0" xfId="0" applyFont="1" applyFill="1" applyBorder="1" applyAlignment="1" applyProtection="1">
      <alignment horizontal="center"/>
      <protection hidden="1"/>
    </xf>
    <xf numFmtId="165" fontId="17" fillId="6" borderId="0" xfId="0" applyNumberFormat="1" applyFont="1" applyFill="1" applyAlignment="1" applyProtection="1">
      <alignment horizontal="center"/>
      <protection hidden="1"/>
    </xf>
    <xf numFmtId="166" fontId="17" fillId="6" borderId="0" xfId="0" applyNumberFormat="1" applyFont="1" applyFill="1" applyProtection="1">
      <protection hidden="1"/>
    </xf>
    <xf numFmtId="165" fontId="17" fillId="6" borderId="0" xfId="0" applyNumberFormat="1" applyFont="1" applyFill="1" applyProtection="1">
      <protection hidden="1"/>
    </xf>
    <xf numFmtId="164" fontId="18" fillId="0" borderId="0" xfId="2" applyFont="1" applyFill="1" applyAlignment="1" applyProtection="1">
      <alignment horizontal="center"/>
      <protection hidden="1"/>
    </xf>
    <xf numFmtId="164" fontId="18" fillId="0" borderId="0" xfId="2" applyFont="1" applyFill="1" applyAlignment="1" applyProtection="1">
      <alignment horizontal="center"/>
      <protection hidden="1"/>
    </xf>
    <xf numFmtId="164" fontId="24" fillId="0" borderId="0" xfId="2" applyFont="1" applyFill="1" applyAlignment="1" applyProtection="1">
      <alignment horizontal="left"/>
      <protection hidden="1"/>
    </xf>
    <xf numFmtId="0" fontId="17" fillId="7" borderId="0" xfId="0" applyFont="1" applyFill="1" applyProtection="1">
      <protection hidden="1"/>
    </xf>
    <xf numFmtId="10" fontId="17" fillId="7" borderId="0" xfId="0" applyNumberFormat="1" applyFont="1" applyFill="1" applyProtection="1">
      <protection hidden="1"/>
    </xf>
    <xf numFmtId="166" fontId="17" fillId="7" borderId="0" xfId="0" applyNumberFormat="1" applyFont="1" applyFill="1" applyProtection="1">
      <protection hidden="1"/>
    </xf>
    <xf numFmtId="0" fontId="18" fillId="7" borderId="1" xfId="0" applyFont="1" applyFill="1" applyBorder="1" applyAlignment="1" applyProtection="1">
      <alignment horizontal="center" wrapText="1"/>
      <protection hidden="1"/>
    </xf>
    <xf numFmtId="0" fontId="18" fillId="7" borderId="1" xfId="0" applyFont="1" applyFill="1" applyBorder="1" applyAlignment="1" applyProtection="1">
      <alignment horizontal="center"/>
      <protection hidden="1"/>
    </xf>
    <xf numFmtId="165" fontId="17" fillId="7" borderId="0" xfId="0" applyNumberFormat="1" applyFont="1" applyFill="1" applyAlignment="1" applyProtection="1">
      <alignment horizontal="center"/>
      <protection hidden="1"/>
    </xf>
    <xf numFmtId="49" fontId="17" fillId="7" borderId="0" xfId="0" applyNumberFormat="1" applyFont="1" applyFill="1" applyAlignment="1" applyProtection="1">
      <alignment horizontal="center"/>
      <protection hidden="1"/>
    </xf>
    <xf numFmtId="165" fontId="17" fillId="7" borderId="0" xfId="0" applyNumberFormat="1" applyFont="1" applyFill="1" applyProtection="1">
      <protection hidden="1"/>
    </xf>
    <xf numFmtId="0" fontId="17" fillId="7" borderId="0" xfId="0" applyFont="1" applyFill="1" applyAlignment="1" applyProtection="1">
      <alignment horizontal="center"/>
      <protection hidden="1"/>
    </xf>
    <xf numFmtId="0" fontId="17" fillId="7" borderId="0" xfId="0" applyNumberFormat="1" applyFont="1" applyFill="1" applyAlignment="1" applyProtection="1">
      <alignment horizontal="center"/>
      <protection hidden="1"/>
    </xf>
    <xf numFmtId="0" fontId="17" fillId="8" borderId="0" xfId="0" applyFont="1" applyFill="1" applyProtection="1">
      <protection hidden="1"/>
    </xf>
    <xf numFmtId="0" fontId="17" fillId="8" borderId="0" xfId="0" applyFont="1" applyFill="1" applyAlignment="1" applyProtection="1">
      <alignment horizontal="left"/>
      <protection hidden="1"/>
    </xf>
    <xf numFmtId="0" fontId="18" fillId="8" borderId="1" xfId="0" applyFont="1" applyFill="1" applyBorder="1" applyAlignment="1" applyProtection="1">
      <alignment horizontal="center"/>
      <protection hidden="1"/>
    </xf>
    <xf numFmtId="0" fontId="18" fillId="8" borderId="1" xfId="0" applyFont="1" applyFill="1" applyBorder="1" applyAlignment="1" applyProtection="1">
      <alignment horizontal="center" wrapText="1"/>
      <protection hidden="1"/>
    </xf>
    <xf numFmtId="0" fontId="18" fillId="8" borderId="1" xfId="0" applyFont="1" applyFill="1" applyBorder="1" applyAlignment="1" applyProtection="1">
      <alignment horizontal="left" wrapText="1"/>
      <protection hidden="1"/>
    </xf>
    <xf numFmtId="165" fontId="17" fillId="8" borderId="0" xfId="0" applyNumberFormat="1" applyFont="1" applyFill="1" applyAlignment="1" applyProtection="1">
      <alignment horizontal="center"/>
      <protection hidden="1"/>
    </xf>
    <xf numFmtId="165" fontId="17" fillId="8" borderId="0" xfId="0" applyNumberFormat="1" applyFont="1" applyFill="1" applyAlignment="1" applyProtection="1">
      <alignment horizontal="left"/>
      <protection hidden="1"/>
    </xf>
    <xf numFmtId="168" fontId="17" fillId="8" borderId="0" xfId="0" applyNumberFormat="1" applyFont="1" applyFill="1" applyAlignment="1" applyProtection="1">
      <alignment horizontal="center"/>
      <protection hidden="1"/>
    </xf>
    <xf numFmtId="166" fontId="17" fillId="8" borderId="0" xfId="0" applyNumberFormat="1" applyFont="1" applyFill="1" applyProtection="1">
      <protection hidden="1"/>
    </xf>
    <xf numFmtId="166" fontId="17" fillId="8" borderId="0" xfId="0" applyNumberFormat="1" applyFont="1" applyFill="1" applyAlignment="1" applyProtection="1">
      <alignment horizontal="left"/>
      <protection hidden="1"/>
    </xf>
    <xf numFmtId="166" fontId="17" fillId="8" borderId="0" xfId="0" applyNumberFormat="1" applyFont="1" applyFill="1" applyAlignment="1" applyProtection="1">
      <alignment horizontal="center"/>
      <protection hidden="1"/>
    </xf>
    <xf numFmtId="165" fontId="17" fillId="8" borderId="0" xfId="0" applyNumberFormat="1" applyFont="1" applyFill="1" applyProtection="1">
      <protection hidden="1"/>
    </xf>
    <xf numFmtId="0" fontId="18" fillId="7" borderId="0" xfId="0" applyFont="1" applyFill="1" applyProtection="1">
      <protection hidden="1"/>
    </xf>
    <xf numFmtId="0" fontId="18" fillId="8" borderId="0" xfId="0" applyFont="1" applyFill="1" applyProtection="1">
      <protection hidden="1"/>
    </xf>
    <xf numFmtId="0" fontId="1" fillId="0" borderId="0" xfId="0" applyFont="1" applyAlignment="1">
      <alignment horizontal="left" indent="1"/>
    </xf>
    <xf numFmtId="164" fontId="17" fillId="0" borderId="0" xfId="0" applyNumberFormat="1" applyFont="1" applyFill="1" applyProtection="1">
      <protection hidden="1"/>
    </xf>
    <xf numFmtId="164" fontId="18" fillId="0" borderId="0" xfId="2" applyFont="1" applyFill="1" applyAlignment="1" applyProtection="1">
      <alignment horizontal="center"/>
      <protection hidden="1"/>
    </xf>
    <xf numFmtId="0" fontId="25" fillId="0" borderId="0" xfId="0" applyFont="1" applyFill="1" applyProtection="1">
      <protection hidden="1"/>
    </xf>
    <xf numFmtId="9" fontId="17" fillId="0" borderId="0" xfId="4" applyFont="1" applyFill="1" applyProtection="1">
      <protection hidden="1"/>
    </xf>
    <xf numFmtId="169" fontId="17" fillId="7" borderId="0" xfId="0" applyNumberFormat="1" applyFont="1" applyFill="1" applyProtection="1">
      <protection hidden="1"/>
    </xf>
    <xf numFmtId="10" fontId="17" fillId="0" borderId="0" xfId="4" applyNumberFormat="1" applyFont="1" applyFill="1" applyProtection="1">
      <protection hidden="1"/>
    </xf>
    <xf numFmtId="165" fontId="17" fillId="9" borderId="0" xfId="0" applyNumberFormat="1" applyFont="1" applyFill="1" applyProtection="1">
      <protection hidden="1"/>
    </xf>
    <xf numFmtId="166" fontId="17" fillId="0" borderId="0" xfId="0" applyNumberFormat="1" applyFont="1" applyFill="1" applyAlignment="1" applyProtection="1">
      <alignment horizontal="right"/>
      <protection hidden="1"/>
    </xf>
    <xf numFmtId="0" fontId="2" fillId="0" borderId="0" xfId="0" applyFont="1" applyFill="1" applyAlignment="1">
      <alignment horizontal="center"/>
    </xf>
    <xf numFmtId="0" fontId="2" fillId="0" borderId="0" xfId="0" applyFont="1" applyFill="1" applyAlignment="1" applyProtection="1">
      <alignment horizontal="center"/>
      <protection hidden="1"/>
    </xf>
    <xf numFmtId="0" fontId="23" fillId="0" borderId="0" xfId="0" applyFont="1" applyFill="1" applyAlignment="1" applyProtection="1">
      <alignment horizontal="center"/>
      <protection hidden="1"/>
    </xf>
    <xf numFmtId="164" fontId="18" fillId="0" borderId="0" xfId="2" applyFont="1" applyFill="1" applyAlignment="1" applyProtection="1">
      <alignment horizontal="center"/>
      <protection hidden="1"/>
    </xf>
    <xf numFmtId="15" fontId="18" fillId="0" borderId="0" xfId="2" applyNumberFormat="1" applyFont="1" applyFill="1" applyAlignment="1" applyProtection="1">
      <alignment horizontal="left"/>
      <protection hidden="1"/>
    </xf>
  </cellXfs>
  <cellStyles count="5">
    <cellStyle name="Normal" xfId="0" builtinId="0"/>
    <cellStyle name="Normal_CEN CEQ CLB CAF CTM" xfId="1" xr:uid="{00000000-0005-0000-0000-000001000000}"/>
    <cellStyle name="Normal_Plicesup" xfId="2" xr:uid="{00000000-0005-0000-0000-000002000000}"/>
    <cellStyle name="Normal_TEMPLATS" xfId="3" xr:uid="{00000000-0005-0000-0000-000003000000}"/>
    <cellStyle name="Percent" xfId="4" builtinId="5"/>
  </cellStyles>
  <dxfs count="0"/>
  <tableStyles count="1" defaultTableStyle="TableStyleMedium2" defaultPivotStyle="PivotStyleLight16">
    <tableStyle name="Invisible" pivot="0"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0</xdr:col>
      <xdr:colOff>82550</xdr:colOff>
      <xdr:row>5</xdr:row>
      <xdr:rowOff>6350</xdr:rowOff>
    </xdr:to>
    <xdr:pic>
      <xdr:nvPicPr>
        <xdr:cNvPr id="2009" name="Picture 3" descr="PT_TAB1LIX_1">
          <a:extLst>
            <a:ext uri="{FF2B5EF4-FFF2-40B4-BE49-F238E27FC236}">
              <a16:creationId xmlns:a16="http://schemas.microsoft.com/office/drawing/2014/main" id="{7B8DE91D-49E6-E501-C7D5-7741F597AD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44550"/>
          <a:ext cx="825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107950</xdr:colOff>
      <xdr:row>5</xdr:row>
      <xdr:rowOff>6350</xdr:rowOff>
    </xdr:to>
    <xdr:pic>
      <xdr:nvPicPr>
        <xdr:cNvPr id="2010" name="Picture 5" descr="PT_TAB1BII_1">
          <a:extLst>
            <a:ext uri="{FF2B5EF4-FFF2-40B4-BE49-F238E27FC236}">
              <a16:creationId xmlns:a16="http://schemas.microsoft.com/office/drawing/2014/main" id="{5E37334C-8BC6-78D9-84BC-509253A989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84455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5</xdr:row>
      <xdr:rowOff>0</xdr:rowOff>
    </xdr:from>
    <xdr:to>
      <xdr:col>3</xdr:col>
      <xdr:colOff>107950</xdr:colOff>
      <xdr:row>5</xdr:row>
      <xdr:rowOff>6350</xdr:rowOff>
    </xdr:to>
    <xdr:pic>
      <xdr:nvPicPr>
        <xdr:cNvPr id="2011" name="Picture 7" descr="PT_TAB1BII_1">
          <a:extLst>
            <a:ext uri="{FF2B5EF4-FFF2-40B4-BE49-F238E27FC236}">
              <a16:creationId xmlns:a16="http://schemas.microsoft.com/office/drawing/2014/main" id="{998CC685-CAAF-6C8C-FAE8-BA9573F304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90650" y="84455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0</xdr:rowOff>
    </xdr:from>
    <xdr:to>
      <xdr:col>1</xdr:col>
      <xdr:colOff>107950</xdr:colOff>
      <xdr:row>5</xdr:row>
      <xdr:rowOff>6350</xdr:rowOff>
    </xdr:to>
    <xdr:pic>
      <xdr:nvPicPr>
        <xdr:cNvPr id="2012" name="Picture 8" descr="PT_TAB1BII_1">
          <a:extLst>
            <a:ext uri="{FF2B5EF4-FFF2-40B4-BE49-F238E27FC236}">
              <a16:creationId xmlns:a16="http://schemas.microsoft.com/office/drawing/2014/main" id="{382AB81C-B59F-EC24-3353-60874F9C9D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6100" y="84455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5</xdr:row>
      <xdr:rowOff>0</xdr:rowOff>
    </xdr:from>
    <xdr:to>
      <xdr:col>4</xdr:col>
      <xdr:colOff>107950</xdr:colOff>
      <xdr:row>5</xdr:row>
      <xdr:rowOff>6350</xdr:rowOff>
    </xdr:to>
    <xdr:pic>
      <xdr:nvPicPr>
        <xdr:cNvPr id="2013" name="Picture 19" descr="PT_TAB1BII_1">
          <a:extLst>
            <a:ext uri="{FF2B5EF4-FFF2-40B4-BE49-F238E27FC236}">
              <a16:creationId xmlns:a16="http://schemas.microsoft.com/office/drawing/2014/main" id="{F7BC7722-D5F3-F6F2-5F68-DF57E89421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97250" y="84455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5</xdr:row>
      <xdr:rowOff>0</xdr:rowOff>
    </xdr:from>
    <xdr:to>
      <xdr:col>5</xdr:col>
      <xdr:colOff>107950</xdr:colOff>
      <xdr:row>5</xdr:row>
      <xdr:rowOff>6350</xdr:rowOff>
    </xdr:to>
    <xdr:pic>
      <xdr:nvPicPr>
        <xdr:cNvPr id="2014" name="Picture 22" descr="PT_TAB1BII_1">
          <a:extLst>
            <a:ext uri="{FF2B5EF4-FFF2-40B4-BE49-F238E27FC236}">
              <a16:creationId xmlns:a16="http://schemas.microsoft.com/office/drawing/2014/main" id="{8CC8EF2D-7169-AA8F-2334-678B7E3726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73500" y="84455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0</xdr:rowOff>
    </xdr:from>
    <xdr:to>
      <xdr:col>1</xdr:col>
      <xdr:colOff>107950</xdr:colOff>
      <xdr:row>5</xdr:row>
      <xdr:rowOff>6350</xdr:rowOff>
    </xdr:to>
    <xdr:pic>
      <xdr:nvPicPr>
        <xdr:cNvPr id="2015" name="Picture 55" descr="PT_TAB1BII_1">
          <a:extLst>
            <a:ext uri="{FF2B5EF4-FFF2-40B4-BE49-F238E27FC236}">
              <a16:creationId xmlns:a16="http://schemas.microsoft.com/office/drawing/2014/main" id="{6F652B4F-F1E2-98D1-3CB6-6A94385D0F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6100" y="84455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5</xdr:row>
      <xdr:rowOff>0</xdr:rowOff>
    </xdr:from>
    <xdr:to>
      <xdr:col>5</xdr:col>
      <xdr:colOff>107950</xdr:colOff>
      <xdr:row>5</xdr:row>
      <xdr:rowOff>6350</xdr:rowOff>
    </xdr:to>
    <xdr:pic>
      <xdr:nvPicPr>
        <xdr:cNvPr id="2016" name="Picture 63" descr="PT_TAB1BII_1">
          <a:extLst>
            <a:ext uri="{FF2B5EF4-FFF2-40B4-BE49-F238E27FC236}">
              <a16:creationId xmlns:a16="http://schemas.microsoft.com/office/drawing/2014/main" id="{014B75C3-FA7B-AC2C-E018-1D5E78390C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73500" y="84455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9</xdr:row>
      <xdr:rowOff>0</xdr:rowOff>
    </xdr:from>
    <xdr:to>
      <xdr:col>0</xdr:col>
      <xdr:colOff>82550</xdr:colOff>
      <xdr:row>9</xdr:row>
      <xdr:rowOff>6350</xdr:rowOff>
    </xdr:to>
    <xdr:pic>
      <xdr:nvPicPr>
        <xdr:cNvPr id="29330" name="Picture 1" descr="PT_TAB1LIX_1">
          <a:extLst>
            <a:ext uri="{FF2B5EF4-FFF2-40B4-BE49-F238E27FC236}">
              <a16:creationId xmlns:a16="http://schemas.microsoft.com/office/drawing/2014/main" id="{E0E7A74B-A954-375E-75BC-38949275F0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74800"/>
          <a:ext cx="825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9</xdr:row>
      <xdr:rowOff>0</xdr:rowOff>
    </xdr:from>
    <xdr:to>
      <xdr:col>0</xdr:col>
      <xdr:colOff>107950</xdr:colOff>
      <xdr:row>9</xdr:row>
      <xdr:rowOff>6350</xdr:rowOff>
    </xdr:to>
    <xdr:pic>
      <xdr:nvPicPr>
        <xdr:cNvPr id="29331" name="Picture 2" descr="PT_TAB1BII_1">
          <a:extLst>
            <a:ext uri="{FF2B5EF4-FFF2-40B4-BE49-F238E27FC236}">
              <a16:creationId xmlns:a16="http://schemas.microsoft.com/office/drawing/2014/main" id="{8ABD9B1C-31F2-AA0E-9C74-5C02BD9EF5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5748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xdr:row>
      <xdr:rowOff>0</xdr:rowOff>
    </xdr:from>
    <xdr:to>
      <xdr:col>3</xdr:col>
      <xdr:colOff>107950</xdr:colOff>
      <xdr:row>9</xdr:row>
      <xdr:rowOff>6350</xdr:rowOff>
    </xdr:to>
    <xdr:pic>
      <xdr:nvPicPr>
        <xdr:cNvPr id="29332" name="Picture 3" descr="PT_TAB1BII_1">
          <a:extLst>
            <a:ext uri="{FF2B5EF4-FFF2-40B4-BE49-F238E27FC236}">
              <a16:creationId xmlns:a16="http://schemas.microsoft.com/office/drawing/2014/main" id="{4F99AAE4-7A63-330A-2533-6CA46CFF18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73200" y="15748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9</xdr:row>
      <xdr:rowOff>0</xdr:rowOff>
    </xdr:from>
    <xdr:to>
      <xdr:col>1</xdr:col>
      <xdr:colOff>107950</xdr:colOff>
      <xdr:row>9</xdr:row>
      <xdr:rowOff>6350</xdr:rowOff>
    </xdr:to>
    <xdr:pic>
      <xdr:nvPicPr>
        <xdr:cNvPr id="29333" name="Picture 4" descr="PT_TAB1BII_1">
          <a:extLst>
            <a:ext uri="{FF2B5EF4-FFF2-40B4-BE49-F238E27FC236}">
              <a16:creationId xmlns:a16="http://schemas.microsoft.com/office/drawing/2014/main" id="{6549A42F-113A-1CF7-9C27-3AAC4685C5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 y="15748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9</xdr:row>
      <xdr:rowOff>0</xdr:rowOff>
    </xdr:from>
    <xdr:to>
      <xdr:col>5</xdr:col>
      <xdr:colOff>107950</xdr:colOff>
      <xdr:row>9</xdr:row>
      <xdr:rowOff>6350</xdr:rowOff>
    </xdr:to>
    <xdr:pic>
      <xdr:nvPicPr>
        <xdr:cNvPr id="29334" name="Picture 5" descr="PT_TAB1BII_1">
          <a:extLst>
            <a:ext uri="{FF2B5EF4-FFF2-40B4-BE49-F238E27FC236}">
              <a16:creationId xmlns:a16="http://schemas.microsoft.com/office/drawing/2014/main" id="{53551904-4525-E973-D005-CA919096DE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79800" y="15748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9</xdr:row>
      <xdr:rowOff>0</xdr:rowOff>
    </xdr:from>
    <xdr:to>
      <xdr:col>5</xdr:col>
      <xdr:colOff>107950</xdr:colOff>
      <xdr:row>9</xdr:row>
      <xdr:rowOff>6350</xdr:rowOff>
    </xdr:to>
    <xdr:pic>
      <xdr:nvPicPr>
        <xdr:cNvPr id="29335" name="Picture 6" descr="PT_TAB1BII_1">
          <a:extLst>
            <a:ext uri="{FF2B5EF4-FFF2-40B4-BE49-F238E27FC236}">
              <a16:creationId xmlns:a16="http://schemas.microsoft.com/office/drawing/2014/main" id="{5D80D753-00DD-9FED-3C47-3062C52E8F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79800" y="15748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9</xdr:row>
      <xdr:rowOff>0</xdr:rowOff>
    </xdr:from>
    <xdr:to>
      <xdr:col>1</xdr:col>
      <xdr:colOff>107950</xdr:colOff>
      <xdr:row>9</xdr:row>
      <xdr:rowOff>6350</xdr:rowOff>
    </xdr:to>
    <xdr:pic>
      <xdr:nvPicPr>
        <xdr:cNvPr id="29336" name="Picture 7" descr="PT_TAB1BII_1">
          <a:extLst>
            <a:ext uri="{FF2B5EF4-FFF2-40B4-BE49-F238E27FC236}">
              <a16:creationId xmlns:a16="http://schemas.microsoft.com/office/drawing/2014/main" id="{D34B6475-D5CC-28EF-8FBD-8EC0B678C3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 y="15748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9</xdr:row>
      <xdr:rowOff>0</xdr:rowOff>
    </xdr:from>
    <xdr:to>
      <xdr:col>5</xdr:col>
      <xdr:colOff>107950</xdr:colOff>
      <xdr:row>9</xdr:row>
      <xdr:rowOff>6350</xdr:rowOff>
    </xdr:to>
    <xdr:pic>
      <xdr:nvPicPr>
        <xdr:cNvPr id="29337" name="Picture 8" descr="PT_TAB1BII_1">
          <a:extLst>
            <a:ext uri="{FF2B5EF4-FFF2-40B4-BE49-F238E27FC236}">
              <a16:creationId xmlns:a16="http://schemas.microsoft.com/office/drawing/2014/main" id="{B9038B86-FAD3-9A53-94C1-C61AC9F931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79800" y="15748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30</xdr:row>
      <xdr:rowOff>0</xdr:rowOff>
    </xdr:from>
    <xdr:to>
      <xdr:col>0</xdr:col>
      <xdr:colOff>82550</xdr:colOff>
      <xdr:row>30</xdr:row>
      <xdr:rowOff>12700</xdr:rowOff>
    </xdr:to>
    <xdr:pic>
      <xdr:nvPicPr>
        <xdr:cNvPr id="29338" name="Picture 9" descr="PT_TAB1LIX_1">
          <a:extLst>
            <a:ext uri="{FF2B5EF4-FFF2-40B4-BE49-F238E27FC236}">
              <a16:creationId xmlns:a16="http://schemas.microsoft.com/office/drawing/2014/main" id="{6D80EDAC-3108-1667-2335-33658DC22C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276850"/>
          <a:ext cx="825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30</xdr:row>
      <xdr:rowOff>0</xdr:rowOff>
    </xdr:from>
    <xdr:to>
      <xdr:col>0</xdr:col>
      <xdr:colOff>107950</xdr:colOff>
      <xdr:row>30</xdr:row>
      <xdr:rowOff>12700</xdr:rowOff>
    </xdr:to>
    <xdr:pic>
      <xdr:nvPicPr>
        <xdr:cNvPr id="29339" name="Picture 10" descr="PT_TAB1BII_1">
          <a:extLst>
            <a:ext uri="{FF2B5EF4-FFF2-40B4-BE49-F238E27FC236}">
              <a16:creationId xmlns:a16="http://schemas.microsoft.com/office/drawing/2014/main" id="{44254880-498A-09CA-8AF3-C2E1EB5323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27685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30</xdr:row>
      <xdr:rowOff>0</xdr:rowOff>
    </xdr:from>
    <xdr:to>
      <xdr:col>3</xdr:col>
      <xdr:colOff>107950</xdr:colOff>
      <xdr:row>30</xdr:row>
      <xdr:rowOff>12700</xdr:rowOff>
    </xdr:to>
    <xdr:pic>
      <xdr:nvPicPr>
        <xdr:cNvPr id="29340" name="Picture 11" descr="PT_TAB1BII_1">
          <a:extLst>
            <a:ext uri="{FF2B5EF4-FFF2-40B4-BE49-F238E27FC236}">
              <a16:creationId xmlns:a16="http://schemas.microsoft.com/office/drawing/2014/main" id="{464C6D84-4AC7-AF1D-9B7C-9E2846D969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73200" y="527685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30</xdr:row>
      <xdr:rowOff>0</xdr:rowOff>
    </xdr:from>
    <xdr:to>
      <xdr:col>1</xdr:col>
      <xdr:colOff>107950</xdr:colOff>
      <xdr:row>30</xdr:row>
      <xdr:rowOff>12700</xdr:rowOff>
    </xdr:to>
    <xdr:pic>
      <xdr:nvPicPr>
        <xdr:cNvPr id="29341" name="Picture 12" descr="PT_TAB1BII_1">
          <a:extLst>
            <a:ext uri="{FF2B5EF4-FFF2-40B4-BE49-F238E27FC236}">
              <a16:creationId xmlns:a16="http://schemas.microsoft.com/office/drawing/2014/main" id="{BD579FE8-5E01-B751-E463-22DCD28375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 y="527685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30</xdr:row>
      <xdr:rowOff>0</xdr:rowOff>
    </xdr:from>
    <xdr:to>
      <xdr:col>5</xdr:col>
      <xdr:colOff>107950</xdr:colOff>
      <xdr:row>30</xdr:row>
      <xdr:rowOff>12700</xdr:rowOff>
    </xdr:to>
    <xdr:pic>
      <xdr:nvPicPr>
        <xdr:cNvPr id="29342" name="Picture 13" descr="PT_TAB1BII_1">
          <a:extLst>
            <a:ext uri="{FF2B5EF4-FFF2-40B4-BE49-F238E27FC236}">
              <a16:creationId xmlns:a16="http://schemas.microsoft.com/office/drawing/2014/main" id="{E4A99990-304F-CA84-67A0-BDC19381E7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79800" y="527685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30</xdr:row>
      <xdr:rowOff>0</xdr:rowOff>
    </xdr:from>
    <xdr:to>
      <xdr:col>5</xdr:col>
      <xdr:colOff>107950</xdr:colOff>
      <xdr:row>30</xdr:row>
      <xdr:rowOff>12700</xdr:rowOff>
    </xdr:to>
    <xdr:pic>
      <xdr:nvPicPr>
        <xdr:cNvPr id="29343" name="Picture 14" descr="PT_TAB1BII_1">
          <a:extLst>
            <a:ext uri="{FF2B5EF4-FFF2-40B4-BE49-F238E27FC236}">
              <a16:creationId xmlns:a16="http://schemas.microsoft.com/office/drawing/2014/main" id="{013698DC-39B5-3F16-D100-48D43FA4DF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79800" y="527685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30</xdr:row>
      <xdr:rowOff>0</xdr:rowOff>
    </xdr:from>
    <xdr:to>
      <xdr:col>1</xdr:col>
      <xdr:colOff>107950</xdr:colOff>
      <xdr:row>30</xdr:row>
      <xdr:rowOff>12700</xdr:rowOff>
    </xdr:to>
    <xdr:pic>
      <xdr:nvPicPr>
        <xdr:cNvPr id="29344" name="Picture 15" descr="PT_TAB1BII_1">
          <a:extLst>
            <a:ext uri="{FF2B5EF4-FFF2-40B4-BE49-F238E27FC236}">
              <a16:creationId xmlns:a16="http://schemas.microsoft.com/office/drawing/2014/main" id="{2B2FB8BB-71D2-BC40-DA7E-B3B8466F68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 y="527685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30</xdr:row>
      <xdr:rowOff>0</xdr:rowOff>
    </xdr:from>
    <xdr:to>
      <xdr:col>5</xdr:col>
      <xdr:colOff>107950</xdr:colOff>
      <xdr:row>30</xdr:row>
      <xdr:rowOff>12700</xdr:rowOff>
    </xdr:to>
    <xdr:pic>
      <xdr:nvPicPr>
        <xdr:cNvPr id="29345" name="Picture 16" descr="PT_TAB1BII_1">
          <a:extLst>
            <a:ext uri="{FF2B5EF4-FFF2-40B4-BE49-F238E27FC236}">
              <a16:creationId xmlns:a16="http://schemas.microsoft.com/office/drawing/2014/main" id="{B219D49F-5825-4EC2-476F-0579846C58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79800" y="527685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7</xdr:row>
      <xdr:rowOff>0</xdr:rowOff>
    </xdr:from>
    <xdr:to>
      <xdr:col>0</xdr:col>
      <xdr:colOff>82550</xdr:colOff>
      <xdr:row>7</xdr:row>
      <xdr:rowOff>6350</xdr:rowOff>
    </xdr:to>
    <xdr:pic>
      <xdr:nvPicPr>
        <xdr:cNvPr id="32258" name="Picture 1" descr="PT_TAB1LIX_1">
          <a:extLst>
            <a:ext uri="{FF2B5EF4-FFF2-40B4-BE49-F238E27FC236}">
              <a16:creationId xmlns:a16="http://schemas.microsoft.com/office/drawing/2014/main" id="{1E6C51E2-C897-871A-04D3-9F91118F12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44600"/>
          <a:ext cx="825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7</xdr:row>
      <xdr:rowOff>0</xdr:rowOff>
    </xdr:from>
    <xdr:to>
      <xdr:col>0</xdr:col>
      <xdr:colOff>107950</xdr:colOff>
      <xdr:row>7</xdr:row>
      <xdr:rowOff>6350</xdr:rowOff>
    </xdr:to>
    <xdr:pic>
      <xdr:nvPicPr>
        <xdr:cNvPr id="32259" name="Picture 2" descr="PT_TAB1BII_1">
          <a:extLst>
            <a:ext uri="{FF2B5EF4-FFF2-40B4-BE49-F238E27FC236}">
              <a16:creationId xmlns:a16="http://schemas.microsoft.com/office/drawing/2014/main" id="{E81FEE3B-12BB-59ED-3343-C19056C06B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2446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7</xdr:row>
      <xdr:rowOff>0</xdr:rowOff>
    </xdr:from>
    <xdr:to>
      <xdr:col>3</xdr:col>
      <xdr:colOff>107950</xdr:colOff>
      <xdr:row>7</xdr:row>
      <xdr:rowOff>6350</xdr:rowOff>
    </xdr:to>
    <xdr:pic>
      <xdr:nvPicPr>
        <xdr:cNvPr id="32260" name="Picture 3" descr="PT_TAB1BII_1">
          <a:extLst>
            <a:ext uri="{FF2B5EF4-FFF2-40B4-BE49-F238E27FC236}">
              <a16:creationId xmlns:a16="http://schemas.microsoft.com/office/drawing/2014/main" id="{95005339-F617-4ACC-9DA4-E6CC055B50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73200" y="12446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7</xdr:row>
      <xdr:rowOff>0</xdr:rowOff>
    </xdr:from>
    <xdr:to>
      <xdr:col>1</xdr:col>
      <xdr:colOff>107950</xdr:colOff>
      <xdr:row>7</xdr:row>
      <xdr:rowOff>6350</xdr:rowOff>
    </xdr:to>
    <xdr:pic>
      <xdr:nvPicPr>
        <xdr:cNvPr id="32261" name="Picture 4" descr="PT_TAB1BII_1">
          <a:extLst>
            <a:ext uri="{FF2B5EF4-FFF2-40B4-BE49-F238E27FC236}">
              <a16:creationId xmlns:a16="http://schemas.microsoft.com/office/drawing/2014/main" id="{4C4EA2C5-EB81-79B1-2C69-93F987B025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 y="12446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7</xdr:row>
      <xdr:rowOff>0</xdr:rowOff>
    </xdr:from>
    <xdr:to>
      <xdr:col>5</xdr:col>
      <xdr:colOff>107950</xdr:colOff>
      <xdr:row>7</xdr:row>
      <xdr:rowOff>6350</xdr:rowOff>
    </xdr:to>
    <xdr:pic>
      <xdr:nvPicPr>
        <xdr:cNvPr id="32262" name="Picture 5" descr="PT_TAB1BII_1">
          <a:extLst>
            <a:ext uri="{FF2B5EF4-FFF2-40B4-BE49-F238E27FC236}">
              <a16:creationId xmlns:a16="http://schemas.microsoft.com/office/drawing/2014/main" id="{AB7857C2-0A12-EFD2-DBE3-353D13F082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79800" y="12446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xdr:row>
      <xdr:rowOff>0</xdr:rowOff>
    </xdr:from>
    <xdr:to>
      <xdr:col>5</xdr:col>
      <xdr:colOff>107950</xdr:colOff>
      <xdr:row>7</xdr:row>
      <xdr:rowOff>6350</xdr:rowOff>
    </xdr:to>
    <xdr:pic>
      <xdr:nvPicPr>
        <xdr:cNvPr id="32263" name="Picture 6" descr="PT_TAB1BII_1">
          <a:extLst>
            <a:ext uri="{FF2B5EF4-FFF2-40B4-BE49-F238E27FC236}">
              <a16:creationId xmlns:a16="http://schemas.microsoft.com/office/drawing/2014/main" id="{8CF1202E-029E-9FB3-4067-1C9816F313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79800" y="12446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7</xdr:row>
      <xdr:rowOff>0</xdr:rowOff>
    </xdr:from>
    <xdr:to>
      <xdr:col>1</xdr:col>
      <xdr:colOff>107950</xdr:colOff>
      <xdr:row>7</xdr:row>
      <xdr:rowOff>6350</xdr:rowOff>
    </xdr:to>
    <xdr:pic>
      <xdr:nvPicPr>
        <xdr:cNvPr id="32264" name="Picture 7" descr="PT_TAB1BII_1">
          <a:extLst>
            <a:ext uri="{FF2B5EF4-FFF2-40B4-BE49-F238E27FC236}">
              <a16:creationId xmlns:a16="http://schemas.microsoft.com/office/drawing/2014/main" id="{B2AAA3F0-6B27-F4DE-91C5-FCDDD7E260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 y="12446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xdr:row>
      <xdr:rowOff>0</xdr:rowOff>
    </xdr:from>
    <xdr:to>
      <xdr:col>5</xdr:col>
      <xdr:colOff>107950</xdr:colOff>
      <xdr:row>7</xdr:row>
      <xdr:rowOff>6350</xdr:rowOff>
    </xdr:to>
    <xdr:pic>
      <xdr:nvPicPr>
        <xdr:cNvPr id="32265" name="Picture 8" descr="PT_TAB1BII_1">
          <a:extLst>
            <a:ext uri="{FF2B5EF4-FFF2-40B4-BE49-F238E27FC236}">
              <a16:creationId xmlns:a16="http://schemas.microsoft.com/office/drawing/2014/main" id="{1C601D0C-3AA5-D425-4434-B4BE8EA11A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79800" y="12446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28</xdr:row>
      <xdr:rowOff>0</xdr:rowOff>
    </xdr:from>
    <xdr:to>
      <xdr:col>0</xdr:col>
      <xdr:colOff>82550</xdr:colOff>
      <xdr:row>28</xdr:row>
      <xdr:rowOff>12700</xdr:rowOff>
    </xdr:to>
    <xdr:pic>
      <xdr:nvPicPr>
        <xdr:cNvPr id="32266" name="Picture 9" descr="PT_TAB1LIX_1">
          <a:extLst>
            <a:ext uri="{FF2B5EF4-FFF2-40B4-BE49-F238E27FC236}">
              <a16:creationId xmlns:a16="http://schemas.microsoft.com/office/drawing/2014/main" id="{92D79C94-0678-77E3-C13A-3E821D5C60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787900"/>
          <a:ext cx="825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28</xdr:row>
      <xdr:rowOff>0</xdr:rowOff>
    </xdr:from>
    <xdr:to>
      <xdr:col>0</xdr:col>
      <xdr:colOff>107950</xdr:colOff>
      <xdr:row>28</xdr:row>
      <xdr:rowOff>12700</xdr:rowOff>
    </xdr:to>
    <xdr:pic>
      <xdr:nvPicPr>
        <xdr:cNvPr id="32267" name="Picture 10" descr="PT_TAB1BII_1">
          <a:extLst>
            <a:ext uri="{FF2B5EF4-FFF2-40B4-BE49-F238E27FC236}">
              <a16:creationId xmlns:a16="http://schemas.microsoft.com/office/drawing/2014/main" id="{D179FEBD-1D60-127A-7F9C-4CBA55B0C8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7879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28</xdr:row>
      <xdr:rowOff>0</xdr:rowOff>
    </xdr:from>
    <xdr:to>
      <xdr:col>3</xdr:col>
      <xdr:colOff>107950</xdr:colOff>
      <xdr:row>28</xdr:row>
      <xdr:rowOff>12700</xdr:rowOff>
    </xdr:to>
    <xdr:pic>
      <xdr:nvPicPr>
        <xdr:cNvPr id="32268" name="Picture 11" descr="PT_TAB1BII_1">
          <a:extLst>
            <a:ext uri="{FF2B5EF4-FFF2-40B4-BE49-F238E27FC236}">
              <a16:creationId xmlns:a16="http://schemas.microsoft.com/office/drawing/2014/main" id="{6D1C7418-A623-B269-B05E-42F3F13737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73200" y="47879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28</xdr:row>
      <xdr:rowOff>0</xdr:rowOff>
    </xdr:from>
    <xdr:to>
      <xdr:col>1</xdr:col>
      <xdr:colOff>107950</xdr:colOff>
      <xdr:row>28</xdr:row>
      <xdr:rowOff>12700</xdr:rowOff>
    </xdr:to>
    <xdr:pic>
      <xdr:nvPicPr>
        <xdr:cNvPr id="32269" name="Picture 12" descr="PT_TAB1BII_1">
          <a:extLst>
            <a:ext uri="{FF2B5EF4-FFF2-40B4-BE49-F238E27FC236}">
              <a16:creationId xmlns:a16="http://schemas.microsoft.com/office/drawing/2014/main" id="{68DE55FE-35CA-318E-5E5E-B05593CA27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 y="47879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28</xdr:row>
      <xdr:rowOff>0</xdr:rowOff>
    </xdr:from>
    <xdr:to>
      <xdr:col>5</xdr:col>
      <xdr:colOff>107950</xdr:colOff>
      <xdr:row>28</xdr:row>
      <xdr:rowOff>12700</xdr:rowOff>
    </xdr:to>
    <xdr:pic>
      <xdr:nvPicPr>
        <xdr:cNvPr id="32270" name="Picture 13" descr="PT_TAB1BII_1">
          <a:extLst>
            <a:ext uri="{FF2B5EF4-FFF2-40B4-BE49-F238E27FC236}">
              <a16:creationId xmlns:a16="http://schemas.microsoft.com/office/drawing/2014/main" id="{278AAEF0-6EFA-CEB5-50E0-4BC2F920A7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79800" y="47879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28</xdr:row>
      <xdr:rowOff>0</xdr:rowOff>
    </xdr:from>
    <xdr:to>
      <xdr:col>5</xdr:col>
      <xdr:colOff>107950</xdr:colOff>
      <xdr:row>28</xdr:row>
      <xdr:rowOff>12700</xdr:rowOff>
    </xdr:to>
    <xdr:pic>
      <xdr:nvPicPr>
        <xdr:cNvPr id="32271" name="Picture 14" descr="PT_TAB1BII_1">
          <a:extLst>
            <a:ext uri="{FF2B5EF4-FFF2-40B4-BE49-F238E27FC236}">
              <a16:creationId xmlns:a16="http://schemas.microsoft.com/office/drawing/2014/main" id="{77A011A9-85CF-108F-C51C-8AC67C7376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79800" y="47879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28</xdr:row>
      <xdr:rowOff>0</xdr:rowOff>
    </xdr:from>
    <xdr:to>
      <xdr:col>1</xdr:col>
      <xdr:colOff>107950</xdr:colOff>
      <xdr:row>28</xdr:row>
      <xdr:rowOff>12700</xdr:rowOff>
    </xdr:to>
    <xdr:pic>
      <xdr:nvPicPr>
        <xdr:cNvPr id="32272" name="Picture 15" descr="PT_TAB1BII_1">
          <a:extLst>
            <a:ext uri="{FF2B5EF4-FFF2-40B4-BE49-F238E27FC236}">
              <a16:creationId xmlns:a16="http://schemas.microsoft.com/office/drawing/2014/main" id="{39769D02-6418-F778-A112-1449CDB38F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 y="47879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28</xdr:row>
      <xdr:rowOff>0</xdr:rowOff>
    </xdr:from>
    <xdr:to>
      <xdr:col>5</xdr:col>
      <xdr:colOff>107950</xdr:colOff>
      <xdr:row>28</xdr:row>
      <xdr:rowOff>12700</xdr:rowOff>
    </xdr:to>
    <xdr:pic>
      <xdr:nvPicPr>
        <xdr:cNvPr id="32273" name="Picture 16" descr="PT_TAB1BII_1">
          <a:extLst>
            <a:ext uri="{FF2B5EF4-FFF2-40B4-BE49-F238E27FC236}">
              <a16:creationId xmlns:a16="http://schemas.microsoft.com/office/drawing/2014/main" id="{331FB137-C117-BF4F-C36C-2DDBB68854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79800" y="47879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7</xdr:row>
      <xdr:rowOff>0</xdr:rowOff>
    </xdr:from>
    <xdr:to>
      <xdr:col>0</xdr:col>
      <xdr:colOff>82550</xdr:colOff>
      <xdr:row>7</xdr:row>
      <xdr:rowOff>6350</xdr:rowOff>
    </xdr:to>
    <xdr:pic>
      <xdr:nvPicPr>
        <xdr:cNvPr id="33090" name="Picture 1" descr="PT_TAB1LIX_1">
          <a:extLst>
            <a:ext uri="{FF2B5EF4-FFF2-40B4-BE49-F238E27FC236}">
              <a16:creationId xmlns:a16="http://schemas.microsoft.com/office/drawing/2014/main" id="{1F53395B-31AC-AD00-9043-78725ED4BB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57300"/>
          <a:ext cx="825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7</xdr:row>
      <xdr:rowOff>0</xdr:rowOff>
    </xdr:from>
    <xdr:to>
      <xdr:col>0</xdr:col>
      <xdr:colOff>107950</xdr:colOff>
      <xdr:row>7</xdr:row>
      <xdr:rowOff>6350</xdr:rowOff>
    </xdr:to>
    <xdr:pic>
      <xdr:nvPicPr>
        <xdr:cNvPr id="33091" name="Picture 2" descr="PT_TAB1BII_1">
          <a:extLst>
            <a:ext uri="{FF2B5EF4-FFF2-40B4-BE49-F238E27FC236}">
              <a16:creationId xmlns:a16="http://schemas.microsoft.com/office/drawing/2014/main" id="{94F44336-0217-26B6-6980-D6C14868C1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2573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7</xdr:row>
      <xdr:rowOff>0</xdr:rowOff>
    </xdr:from>
    <xdr:to>
      <xdr:col>3</xdr:col>
      <xdr:colOff>101600</xdr:colOff>
      <xdr:row>7</xdr:row>
      <xdr:rowOff>6350</xdr:rowOff>
    </xdr:to>
    <xdr:pic>
      <xdr:nvPicPr>
        <xdr:cNvPr id="33092" name="Picture 3" descr="PT_TAB1BII_1">
          <a:extLst>
            <a:ext uri="{FF2B5EF4-FFF2-40B4-BE49-F238E27FC236}">
              <a16:creationId xmlns:a16="http://schemas.microsoft.com/office/drawing/2014/main" id="{3FD3C105-BB5E-EFBF-E3DC-3FBFD12295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73200" y="1257300"/>
          <a:ext cx="10160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7</xdr:row>
      <xdr:rowOff>0</xdr:rowOff>
    </xdr:from>
    <xdr:to>
      <xdr:col>1</xdr:col>
      <xdr:colOff>107950</xdr:colOff>
      <xdr:row>7</xdr:row>
      <xdr:rowOff>6350</xdr:rowOff>
    </xdr:to>
    <xdr:pic>
      <xdr:nvPicPr>
        <xdr:cNvPr id="33093" name="Picture 4" descr="PT_TAB1BII_1">
          <a:extLst>
            <a:ext uri="{FF2B5EF4-FFF2-40B4-BE49-F238E27FC236}">
              <a16:creationId xmlns:a16="http://schemas.microsoft.com/office/drawing/2014/main" id="{7CCF07CC-8127-4A31-C0D7-1197C8928E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 y="12573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7</xdr:row>
      <xdr:rowOff>0</xdr:rowOff>
    </xdr:from>
    <xdr:to>
      <xdr:col>5</xdr:col>
      <xdr:colOff>107950</xdr:colOff>
      <xdr:row>7</xdr:row>
      <xdr:rowOff>6350</xdr:rowOff>
    </xdr:to>
    <xdr:pic>
      <xdr:nvPicPr>
        <xdr:cNvPr id="33094" name="Picture 5" descr="PT_TAB1BII_1">
          <a:extLst>
            <a:ext uri="{FF2B5EF4-FFF2-40B4-BE49-F238E27FC236}">
              <a16:creationId xmlns:a16="http://schemas.microsoft.com/office/drawing/2014/main" id="{117DB299-DA48-D9C4-FCAA-40AF95A837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27500" y="12573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xdr:row>
      <xdr:rowOff>0</xdr:rowOff>
    </xdr:from>
    <xdr:to>
      <xdr:col>5</xdr:col>
      <xdr:colOff>107950</xdr:colOff>
      <xdr:row>7</xdr:row>
      <xdr:rowOff>6350</xdr:rowOff>
    </xdr:to>
    <xdr:pic>
      <xdr:nvPicPr>
        <xdr:cNvPr id="33095" name="Picture 6" descr="PT_TAB1BII_1">
          <a:extLst>
            <a:ext uri="{FF2B5EF4-FFF2-40B4-BE49-F238E27FC236}">
              <a16:creationId xmlns:a16="http://schemas.microsoft.com/office/drawing/2014/main" id="{32CBFB2D-FB5D-1B51-F5A0-71B91BBD7A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27500" y="12573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7</xdr:row>
      <xdr:rowOff>0</xdr:rowOff>
    </xdr:from>
    <xdr:to>
      <xdr:col>1</xdr:col>
      <xdr:colOff>107950</xdr:colOff>
      <xdr:row>7</xdr:row>
      <xdr:rowOff>6350</xdr:rowOff>
    </xdr:to>
    <xdr:pic>
      <xdr:nvPicPr>
        <xdr:cNvPr id="33096" name="Picture 7" descr="PT_TAB1BII_1">
          <a:extLst>
            <a:ext uri="{FF2B5EF4-FFF2-40B4-BE49-F238E27FC236}">
              <a16:creationId xmlns:a16="http://schemas.microsoft.com/office/drawing/2014/main" id="{7DBB43D3-4CC0-7D1B-2928-04B8227A5E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 y="12573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xdr:row>
      <xdr:rowOff>0</xdr:rowOff>
    </xdr:from>
    <xdr:to>
      <xdr:col>5</xdr:col>
      <xdr:colOff>107950</xdr:colOff>
      <xdr:row>7</xdr:row>
      <xdr:rowOff>6350</xdr:rowOff>
    </xdr:to>
    <xdr:pic>
      <xdr:nvPicPr>
        <xdr:cNvPr id="33097" name="Picture 8" descr="PT_TAB1BII_1">
          <a:extLst>
            <a:ext uri="{FF2B5EF4-FFF2-40B4-BE49-F238E27FC236}">
              <a16:creationId xmlns:a16="http://schemas.microsoft.com/office/drawing/2014/main" id="{A6837A4C-1EAD-854C-0C4C-30310DED76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27500" y="12573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27</xdr:row>
      <xdr:rowOff>0</xdr:rowOff>
    </xdr:from>
    <xdr:to>
      <xdr:col>0</xdr:col>
      <xdr:colOff>82550</xdr:colOff>
      <xdr:row>27</xdr:row>
      <xdr:rowOff>12700</xdr:rowOff>
    </xdr:to>
    <xdr:pic>
      <xdr:nvPicPr>
        <xdr:cNvPr id="33098" name="Picture 9" descr="PT_TAB1LIX_1">
          <a:extLst>
            <a:ext uri="{FF2B5EF4-FFF2-40B4-BE49-F238E27FC236}">
              <a16:creationId xmlns:a16="http://schemas.microsoft.com/office/drawing/2014/main" id="{F02F8844-4298-EFA5-7C25-03B199B3EA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737100"/>
          <a:ext cx="825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27</xdr:row>
      <xdr:rowOff>0</xdr:rowOff>
    </xdr:from>
    <xdr:to>
      <xdr:col>0</xdr:col>
      <xdr:colOff>107950</xdr:colOff>
      <xdr:row>27</xdr:row>
      <xdr:rowOff>12700</xdr:rowOff>
    </xdr:to>
    <xdr:pic>
      <xdr:nvPicPr>
        <xdr:cNvPr id="33099" name="Picture 10" descr="PT_TAB1BII_1">
          <a:extLst>
            <a:ext uri="{FF2B5EF4-FFF2-40B4-BE49-F238E27FC236}">
              <a16:creationId xmlns:a16="http://schemas.microsoft.com/office/drawing/2014/main" id="{F0C6DADB-36A1-AD71-D03B-796DBB583B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7371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27</xdr:row>
      <xdr:rowOff>0</xdr:rowOff>
    </xdr:from>
    <xdr:to>
      <xdr:col>3</xdr:col>
      <xdr:colOff>101600</xdr:colOff>
      <xdr:row>27</xdr:row>
      <xdr:rowOff>12700</xdr:rowOff>
    </xdr:to>
    <xdr:pic>
      <xdr:nvPicPr>
        <xdr:cNvPr id="33100" name="Picture 11" descr="PT_TAB1BII_1">
          <a:extLst>
            <a:ext uri="{FF2B5EF4-FFF2-40B4-BE49-F238E27FC236}">
              <a16:creationId xmlns:a16="http://schemas.microsoft.com/office/drawing/2014/main" id="{1141770F-817F-3D5D-148B-DA7BA8BC20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73200" y="4737100"/>
          <a:ext cx="1016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27</xdr:row>
      <xdr:rowOff>0</xdr:rowOff>
    </xdr:from>
    <xdr:to>
      <xdr:col>1</xdr:col>
      <xdr:colOff>107950</xdr:colOff>
      <xdr:row>27</xdr:row>
      <xdr:rowOff>12700</xdr:rowOff>
    </xdr:to>
    <xdr:pic>
      <xdr:nvPicPr>
        <xdr:cNvPr id="33101" name="Picture 12" descr="PT_TAB1BII_1">
          <a:extLst>
            <a:ext uri="{FF2B5EF4-FFF2-40B4-BE49-F238E27FC236}">
              <a16:creationId xmlns:a16="http://schemas.microsoft.com/office/drawing/2014/main" id="{991E8C78-D9F0-9547-E378-0F3C75BA11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 y="47371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27</xdr:row>
      <xdr:rowOff>0</xdr:rowOff>
    </xdr:from>
    <xdr:to>
      <xdr:col>5</xdr:col>
      <xdr:colOff>107950</xdr:colOff>
      <xdr:row>27</xdr:row>
      <xdr:rowOff>12700</xdr:rowOff>
    </xdr:to>
    <xdr:pic>
      <xdr:nvPicPr>
        <xdr:cNvPr id="33102" name="Picture 13" descr="PT_TAB1BII_1">
          <a:extLst>
            <a:ext uri="{FF2B5EF4-FFF2-40B4-BE49-F238E27FC236}">
              <a16:creationId xmlns:a16="http://schemas.microsoft.com/office/drawing/2014/main" id="{1435851E-A7EC-0DD7-04AD-3447BCF43C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27500" y="47371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27</xdr:row>
      <xdr:rowOff>0</xdr:rowOff>
    </xdr:from>
    <xdr:to>
      <xdr:col>5</xdr:col>
      <xdr:colOff>107950</xdr:colOff>
      <xdr:row>27</xdr:row>
      <xdr:rowOff>12700</xdr:rowOff>
    </xdr:to>
    <xdr:pic>
      <xdr:nvPicPr>
        <xdr:cNvPr id="33103" name="Picture 14" descr="PT_TAB1BII_1">
          <a:extLst>
            <a:ext uri="{FF2B5EF4-FFF2-40B4-BE49-F238E27FC236}">
              <a16:creationId xmlns:a16="http://schemas.microsoft.com/office/drawing/2014/main" id="{E0DA695F-68F3-1A3A-9A6C-E7A8501277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27500" y="47371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27</xdr:row>
      <xdr:rowOff>0</xdr:rowOff>
    </xdr:from>
    <xdr:to>
      <xdr:col>1</xdr:col>
      <xdr:colOff>107950</xdr:colOff>
      <xdr:row>27</xdr:row>
      <xdr:rowOff>12700</xdr:rowOff>
    </xdr:to>
    <xdr:pic>
      <xdr:nvPicPr>
        <xdr:cNvPr id="33104" name="Picture 15" descr="PT_TAB1BII_1">
          <a:extLst>
            <a:ext uri="{FF2B5EF4-FFF2-40B4-BE49-F238E27FC236}">
              <a16:creationId xmlns:a16="http://schemas.microsoft.com/office/drawing/2014/main" id="{E4788D54-B8B8-2010-72D3-62DCF490C9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 y="47371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27</xdr:row>
      <xdr:rowOff>0</xdr:rowOff>
    </xdr:from>
    <xdr:to>
      <xdr:col>5</xdr:col>
      <xdr:colOff>107950</xdr:colOff>
      <xdr:row>27</xdr:row>
      <xdr:rowOff>12700</xdr:rowOff>
    </xdr:to>
    <xdr:pic>
      <xdr:nvPicPr>
        <xdr:cNvPr id="33105" name="Picture 16" descr="PT_TAB1BII_1">
          <a:extLst>
            <a:ext uri="{FF2B5EF4-FFF2-40B4-BE49-F238E27FC236}">
              <a16:creationId xmlns:a16="http://schemas.microsoft.com/office/drawing/2014/main" id="{4A6C4950-B292-AEC7-8417-BE675A0267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27500" y="47371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7</xdr:row>
      <xdr:rowOff>0</xdr:rowOff>
    </xdr:from>
    <xdr:to>
      <xdr:col>0</xdr:col>
      <xdr:colOff>82550</xdr:colOff>
      <xdr:row>7</xdr:row>
      <xdr:rowOff>6350</xdr:rowOff>
    </xdr:to>
    <xdr:pic>
      <xdr:nvPicPr>
        <xdr:cNvPr id="35106" name="Picture 1" descr="PT_TAB1LIX_1">
          <a:extLst>
            <a:ext uri="{FF2B5EF4-FFF2-40B4-BE49-F238E27FC236}">
              <a16:creationId xmlns:a16="http://schemas.microsoft.com/office/drawing/2014/main" id="{DB462678-D3A2-0F82-3593-5F2185844C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57300"/>
          <a:ext cx="825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7</xdr:row>
      <xdr:rowOff>0</xdr:rowOff>
    </xdr:from>
    <xdr:to>
      <xdr:col>0</xdr:col>
      <xdr:colOff>107950</xdr:colOff>
      <xdr:row>7</xdr:row>
      <xdr:rowOff>6350</xdr:rowOff>
    </xdr:to>
    <xdr:pic>
      <xdr:nvPicPr>
        <xdr:cNvPr id="35107" name="Picture 2" descr="PT_TAB1BII_1">
          <a:extLst>
            <a:ext uri="{FF2B5EF4-FFF2-40B4-BE49-F238E27FC236}">
              <a16:creationId xmlns:a16="http://schemas.microsoft.com/office/drawing/2014/main" id="{83A5D9F6-0DCD-0894-599E-27CF41F758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2573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7</xdr:row>
      <xdr:rowOff>0</xdr:rowOff>
    </xdr:from>
    <xdr:to>
      <xdr:col>3</xdr:col>
      <xdr:colOff>101600</xdr:colOff>
      <xdr:row>7</xdr:row>
      <xdr:rowOff>6350</xdr:rowOff>
    </xdr:to>
    <xdr:pic>
      <xdr:nvPicPr>
        <xdr:cNvPr id="35108" name="Picture 3" descr="PT_TAB1BII_1">
          <a:extLst>
            <a:ext uri="{FF2B5EF4-FFF2-40B4-BE49-F238E27FC236}">
              <a16:creationId xmlns:a16="http://schemas.microsoft.com/office/drawing/2014/main" id="{D111632F-C0E8-4B1E-6EFB-F33462A6B0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73200" y="1257300"/>
          <a:ext cx="10160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7</xdr:row>
      <xdr:rowOff>0</xdr:rowOff>
    </xdr:from>
    <xdr:to>
      <xdr:col>1</xdr:col>
      <xdr:colOff>107950</xdr:colOff>
      <xdr:row>7</xdr:row>
      <xdr:rowOff>6350</xdr:rowOff>
    </xdr:to>
    <xdr:pic>
      <xdr:nvPicPr>
        <xdr:cNvPr id="35109" name="Picture 4" descr="PT_TAB1BII_1">
          <a:extLst>
            <a:ext uri="{FF2B5EF4-FFF2-40B4-BE49-F238E27FC236}">
              <a16:creationId xmlns:a16="http://schemas.microsoft.com/office/drawing/2014/main" id="{C1B59DFA-C24C-7977-633C-7080482CB9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 y="12573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7</xdr:row>
      <xdr:rowOff>0</xdr:rowOff>
    </xdr:from>
    <xdr:to>
      <xdr:col>5</xdr:col>
      <xdr:colOff>107950</xdr:colOff>
      <xdr:row>7</xdr:row>
      <xdr:rowOff>6350</xdr:rowOff>
    </xdr:to>
    <xdr:pic>
      <xdr:nvPicPr>
        <xdr:cNvPr id="35110" name="Picture 5" descr="PT_TAB1BII_1">
          <a:extLst>
            <a:ext uri="{FF2B5EF4-FFF2-40B4-BE49-F238E27FC236}">
              <a16:creationId xmlns:a16="http://schemas.microsoft.com/office/drawing/2014/main" id="{9F40A6E9-C450-5D94-73D6-946C05568D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27500" y="12573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xdr:row>
      <xdr:rowOff>0</xdr:rowOff>
    </xdr:from>
    <xdr:to>
      <xdr:col>5</xdr:col>
      <xdr:colOff>107950</xdr:colOff>
      <xdr:row>7</xdr:row>
      <xdr:rowOff>6350</xdr:rowOff>
    </xdr:to>
    <xdr:pic>
      <xdr:nvPicPr>
        <xdr:cNvPr id="35111" name="Picture 6" descr="PT_TAB1BII_1">
          <a:extLst>
            <a:ext uri="{FF2B5EF4-FFF2-40B4-BE49-F238E27FC236}">
              <a16:creationId xmlns:a16="http://schemas.microsoft.com/office/drawing/2014/main" id="{D9580C57-E4DC-AC26-628B-F4DA47C832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27500" y="12573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7</xdr:row>
      <xdr:rowOff>0</xdr:rowOff>
    </xdr:from>
    <xdr:to>
      <xdr:col>1</xdr:col>
      <xdr:colOff>107950</xdr:colOff>
      <xdr:row>7</xdr:row>
      <xdr:rowOff>6350</xdr:rowOff>
    </xdr:to>
    <xdr:pic>
      <xdr:nvPicPr>
        <xdr:cNvPr id="35112" name="Picture 7" descr="PT_TAB1BII_1">
          <a:extLst>
            <a:ext uri="{FF2B5EF4-FFF2-40B4-BE49-F238E27FC236}">
              <a16:creationId xmlns:a16="http://schemas.microsoft.com/office/drawing/2014/main" id="{163C840C-6681-A2A3-402A-E5ACF4D7C3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 y="12573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xdr:row>
      <xdr:rowOff>0</xdr:rowOff>
    </xdr:from>
    <xdr:to>
      <xdr:col>5</xdr:col>
      <xdr:colOff>107950</xdr:colOff>
      <xdr:row>7</xdr:row>
      <xdr:rowOff>6350</xdr:rowOff>
    </xdr:to>
    <xdr:pic>
      <xdr:nvPicPr>
        <xdr:cNvPr id="35113" name="Picture 8" descr="PT_TAB1BII_1">
          <a:extLst>
            <a:ext uri="{FF2B5EF4-FFF2-40B4-BE49-F238E27FC236}">
              <a16:creationId xmlns:a16="http://schemas.microsoft.com/office/drawing/2014/main" id="{007BE4C1-3676-7952-F616-EE93203F4F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27500" y="12573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27</xdr:row>
      <xdr:rowOff>0</xdr:rowOff>
    </xdr:from>
    <xdr:to>
      <xdr:col>0</xdr:col>
      <xdr:colOff>82550</xdr:colOff>
      <xdr:row>27</xdr:row>
      <xdr:rowOff>12700</xdr:rowOff>
    </xdr:to>
    <xdr:pic>
      <xdr:nvPicPr>
        <xdr:cNvPr id="35114" name="Picture 9" descr="PT_TAB1LIX_1">
          <a:extLst>
            <a:ext uri="{FF2B5EF4-FFF2-40B4-BE49-F238E27FC236}">
              <a16:creationId xmlns:a16="http://schemas.microsoft.com/office/drawing/2014/main" id="{6F9970C4-86C4-9714-0DF7-45F2AE97C0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737100"/>
          <a:ext cx="825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27</xdr:row>
      <xdr:rowOff>0</xdr:rowOff>
    </xdr:from>
    <xdr:to>
      <xdr:col>0</xdr:col>
      <xdr:colOff>107950</xdr:colOff>
      <xdr:row>27</xdr:row>
      <xdr:rowOff>12700</xdr:rowOff>
    </xdr:to>
    <xdr:pic>
      <xdr:nvPicPr>
        <xdr:cNvPr id="35115" name="Picture 10" descr="PT_TAB1BII_1">
          <a:extLst>
            <a:ext uri="{FF2B5EF4-FFF2-40B4-BE49-F238E27FC236}">
              <a16:creationId xmlns:a16="http://schemas.microsoft.com/office/drawing/2014/main" id="{43D0B1F9-3AA8-EAA7-3C8F-A43ED54974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7371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27</xdr:row>
      <xdr:rowOff>0</xdr:rowOff>
    </xdr:from>
    <xdr:to>
      <xdr:col>3</xdr:col>
      <xdr:colOff>101600</xdr:colOff>
      <xdr:row>27</xdr:row>
      <xdr:rowOff>12700</xdr:rowOff>
    </xdr:to>
    <xdr:pic>
      <xdr:nvPicPr>
        <xdr:cNvPr id="35116" name="Picture 11" descr="PT_TAB1BII_1">
          <a:extLst>
            <a:ext uri="{FF2B5EF4-FFF2-40B4-BE49-F238E27FC236}">
              <a16:creationId xmlns:a16="http://schemas.microsoft.com/office/drawing/2014/main" id="{BFDF1360-B6C6-B3B4-34BA-062EA9AF0A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73200" y="4737100"/>
          <a:ext cx="1016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27</xdr:row>
      <xdr:rowOff>0</xdr:rowOff>
    </xdr:from>
    <xdr:to>
      <xdr:col>1</xdr:col>
      <xdr:colOff>107950</xdr:colOff>
      <xdr:row>27</xdr:row>
      <xdr:rowOff>12700</xdr:rowOff>
    </xdr:to>
    <xdr:pic>
      <xdr:nvPicPr>
        <xdr:cNvPr id="35117" name="Picture 12" descr="PT_TAB1BII_1">
          <a:extLst>
            <a:ext uri="{FF2B5EF4-FFF2-40B4-BE49-F238E27FC236}">
              <a16:creationId xmlns:a16="http://schemas.microsoft.com/office/drawing/2014/main" id="{267C980E-1498-6285-2ECC-AB5C1F9B9C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 y="47371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27</xdr:row>
      <xdr:rowOff>0</xdr:rowOff>
    </xdr:from>
    <xdr:to>
      <xdr:col>5</xdr:col>
      <xdr:colOff>107950</xdr:colOff>
      <xdr:row>27</xdr:row>
      <xdr:rowOff>12700</xdr:rowOff>
    </xdr:to>
    <xdr:pic>
      <xdr:nvPicPr>
        <xdr:cNvPr id="35118" name="Picture 13" descr="PT_TAB1BII_1">
          <a:extLst>
            <a:ext uri="{FF2B5EF4-FFF2-40B4-BE49-F238E27FC236}">
              <a16:creationId xmlns:a16="http://schemas.microsoft.com/office/drawing/2014/main" id="{10FD1C6E-92AC-7BF3-C8FE-DBD7C07775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27500" y="47371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27</xdr:row>
      <xdr:rowOff>0</xdr:rowOff>
    </xdr:from>
    <xdr:to>
      <xdr:col>5</xdr:col>
      <xdr:colOff>107950</xdr:colOff>
      <xdr:row>27</xdr:row>
      <xdr:rowOff>12700</xdr:rowOff>
    </xdr:to>
    <xdr:pic>
      <xdr:nvPicPr>
        <xdr:cNvPr id="35119" name="Picture 14" descr="PT_TAB1BII_1">
          <a:extLst>
            <a:ext uri="{FF2B5EF4-FFF2-40B4-BE49-F238E27FC236}">
              <a16:creationId xmlns:a16="http://schemas.microsoft.com/office/drawing/2014/main" id="{F4AC7DC7-F0AD-312E-B6DD-972A0BAC41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27500" y="47371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27</xdr:row>
      <xdr:rowOff>0</xdr:rowOff>
    </xdr:from>
    <xdr:to>
      <xdr:col>1</xdr:col>
      <xdr:colOff>107950</xdr:colOff>
      <xdr:row>27</xdr:row>
      <xdr:rowOff>12700</xdr:rowOff>
    </xdr:to>
    <xdr:pic>
      <xdr:nvPicPr>
        <xdr:cNvPr id="35120" name="Picture 15" descr="PT_TAB1BII_1">
          <a:extLst>
            <a:ext uri="{FF2B5EF4-FFF2-40B4-BE49-F238E27FC236}">
              <a16:creationId xmlns:a16="http://schemas.microsoft.com/office/drawing/2014/main" id="{DD539576-9B32-9FA8-BE0F-D09812EB98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 y="47371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27</xdr:row>
      <xdr:rowOff>0</xdr:rowOff>
    </xdr:from>
    <xdr:to>
      <xdr:col>5</xdr:col>
      <xdr:colOff>107950</xdr:colOff>
      <xdr:row>27</xdr:row>
      <xdr:rowOff>12700</xdr:rowOff>
    </xdr:to>
    <xdr:pic>
      <xdr:nvPicPr>
        <xdr:cNvPr id="35121" name="Picture 16" descr="PT_TAB1BII_1">
          <a:extLst>
            <a:ext uri="{FF2B5EF4-FFF2-40B4-BE49-F238E27FC236}">
              <a16:creationId xmlns:a16="http://schemas.microsoft.com/office/drawing/2014/main" id="{E7D44176-CF46-DA68-F77A-A5D0FD757E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27500" y="47371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7</xdr:row>
      <xdr:rowOff>0</xdr:rowOff>
    </xdr:from>
    <xdr:to>
      <xdr:col>0</xdr:col>
      <xdr:colOff>82550</xdr:colOff>
      <xdr:row>7</xdr:row>
      <xdr:rowOff>12700</xdr:rowOff>
    </xdr:to>
    <xdr:pic>
      <xdr:nvPicPr>
        <xdr:cNvPr id="36086" name="Picture 1" descr="PT_TAB1LIX_1">
          <a:extLst>
            <a:ext uri="{FF2B5EF4-FFF2-40B4-BE49-F238E27FC236}">
              <a16:creationId xmlns:a16="http://schemas.microsoft.com/office/drawing/2014/main" id="{B08F1939-8CDE-2513-A813-FAF5BA06C9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57300"/>
          <a:ext cx="825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7</xdr:row>
      <xdr:rowOff>0</xdr:rowOff>
    </xdr:from>
    <xdr:to>
      <xdr:col>0</xdr:col>
      <xdr:colOff>107950</xdr:colOff>
      <xdr:row>7</xdr:row>
      <xdr:rowOff>12700</xdr:rowOff>
    </xdr:to>
    <xdr:pic>
      <xdr:nvPicPr>
        <xdr:cNvPr id="36087" name="Picture 2" descr="PT_TAB1BII_1">
          <a:extLst>
            <a:ext uri="{FF2B5EF4-FFF2-40B4-BE49-F238E27FC236}">
              <a16:creationId xmlns:a16="http://schemas.microsoft.com/office/drawing/2014/main" id="{5B7C8955-57ED-44AA-E160-6B19244820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2573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7</xdr:row>
      <xdr:rowOff>0</xdr:rowOff>
    </xdr:from>
    <xdr:to>
      <xdr:col>3</xdr:col>
      <xdr:colOff>101600</xdr:colOff>
      <xdr:row>7</xdr:row>
      <xdr:rowOff>12700</xdr:rowOff>
    </xdr:to>
    <xdr:pic>
      <xdr:nvPicPr>
        <xdr:cNvPr id="36088" name="Picture 3" descr="PT_TAB1BII_1">
          <a:extLst>
            <a:ext uri="{FF2B5EF4-FFF2-40B4-BE49-F238E27FC236}">
              <a16:creationId xmlns:a16="http://schemas.microsoft.com/office/drawing/2014/main" id="{94E26518-FEF6-157E-05F8-D04482AA8E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73200" y="1257300"/>
          <a:ext cx="1016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7</xdr:row>
      <xdr:rowOff>0</xdr:rowOff>
    </xdr:from>
    <xdr:to>
      <xdr:col>1</xdr:col>
      <xdr:colOff>107950</xdr:colOff>
      <xdr:row>7</xdr:row>
      <xdr:rowOff>12700</xdr:rowOff>
    </xdr:to>
    <xdr:pic>
      <xdr:nvPicPr>
        <xdr:cNvPr id="36089" name="Picture 4" descr="PT_TAB1BII_1">
          <a:extLst>
            <a:ext uri="{FF2B5EF4-FFF2-40B4-BE49-F238E27FC236}">
              <a16:creationId xmlns:a16="http://schemas.microsoft.com/office/drawing/2014/main" id="{CD40124C-71DF-E8D5-04FE-1A03801E6E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 y="12573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7</xdr:row>
      <xdr:rowOff>0</xdr:rowOff>
    </xdr:from>
    <xdr:to>
      <xdr:col>5</xdr:col>
      <xdr:colOff>107950</xdr:colOff>
      <xdr:row>7</xdr:row>
      <xdr:rowOff>12700</xdr:rowOff>
    </xdr:to>
    <xdr:pic>
      <xdr:nvPicPr>
        <xdr:cNvPr id="36090" name="Picture 5" descr="PT_TAB1BII_1">
          <a:extLst>
            <a:ext uri="{FF2B5EF4-FFF2-40B4-BE49-F238E27FC236}">
              <a16:creationId xmlns:a16="http://schemas.microsoft.com/office/drawing/2014/main" id="{B289B55A-A479-AFC6-3B31-CFCB39D0EE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27500" y="12573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xdr:row>
      <xdr:rowOff>0</xdr:rowOff>
    </xdr:from>
    <xdr:to>
      <xdr:col>5</xdr:col>
      <xdr:colOff>107950</xdr:colOff>
      <xdr:row>7</xdr:row>
      <xdr:rowOff>12700</xdr:rowOff>
    </xdr:to>
    <xdr:pic>
      <xdr:nvPicPr>
        <xdr:cNvPr id="36091" name="Picture 6" descr="PT_TAB1BII_1">
          <a:extLst>
            <a:ext uri="{FF2B5EF4-FFF2-40B4-BE49-F238E27FC236}">
              <a16:creationId xmlns:a16="http://schemas.microsoft.com/office/drawing/2014/main" id="{AA25306C-2FC3-CF4A-C87E-9321031BD0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27500" y="12573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7</xdr:row>
      <xdr:rowOff>0</xdr:rowOff>
    </xdr:from>
    <xdr:to>
      <xdr:col>1</xdr:col>
      <xdr:colOff>107950</xdr:colOff>
      <xdr:row>7</xdr:row>
      <xdr:rowOff>12700</xdr:rowOff>
    </xdr:to>
    <xdr:pic>
      <xdr:nvPicPr>
        <xdr:cNvPr id="36092" name="Picture 7" descr="PT_TAB1BII_1">
          <a:extLst>
            <a:ext uri="{FF2B5EF4-FFF2-40B4-BE49-F238E27FC236}">
              <a16:creationId xmlns:a16="http://schemas.microsoft.com/office/drawing/2014/main" id="{54669BD2-A624-B266-6CE1-0F92223B3A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 y="12573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xdr:row>
      <xdr:rowOff>0</xdr:rowOff>
    </xdr:from>
    <xdr:to>
      <xdr:col>5</xdr:col>
      <xdr:colOff>107950</xdr:colOff>
      <xdr:row>7</xdr:row>
      <xdr:rowOff>12700</xdr:rowOff>
    </xdr:to>
    <xdr:pic>
      <xdr:nvPicPr>
        <xdr:cNvPr id="36093" name="Picture 8" descr="PT_TAB1BII_1">
          <a:extLst>
            <a:ext uri="{FF2B5EF4-FFF2-40B4-BE49-F238E27FC236}">
              <a16:creationId xmlns:a16="http://schemas.microsoft.com/office/drawing/2014/main" id="{1181AD1E-14AC-0EFA-D020-E51052A53F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27500" y="12573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82550</xdr:colOff>
      <xdr:row>24</xdr:row>
      <xdr:rowOff>12700</xdr:rowOff>
    </xdr:to>
    <xdr:pic>
      <xdr:nvPicPr>
        <xdr:cNvPr id="36094" name="Picture 9" descr="PT_TAB1LIX_1">
          <a:extLst>
            <a:ext uri="{FF2B5EF4-FFF2-40B4-BE49-F238E27FC236}">
              <a16:creationId xmlns:a16="http://schemas.microsoft.com/office/drawing/2014/main" id="{C1D61EAC-45A1-41BC-DC86-6D0CA04B90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419600"/>
          <a:ext cx="825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107950</xdr:colOff>
      <xdr:row>24</xdr:row>
      <xdr:rowOff>12700</xdr:rowOff>
    </xdr:to>
    <xdr:pic>
      <xdr:nvPicPr>
        <xdr:cNvPr id="36095" name="Picture 10" descr="PT_TAB1BII_1">
          <a:extLst>
            <a:ext uri="{FF2B5EF4-FFF2-40B4-BE49-F238E27FC236}">
              <a16:creationId xmlns:a16="http://schemas.microsoft.com/office/drawing/2014/main" id="{166E6982-3D94-1C4A-EC58-6CB66107B7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4196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24</xdr:row>
      <xdr:rowOff>0</xdr:rowOff>
    </xdr:from>
    <xdr:to>
      <xdr:col>3</xdr:col>
      <xdr:colOff>101600</xdr:colOff>
      <xdr:row>24</xdr:row>
      <xdr:rowOff>12700</xdr:rowOff>
    </xdr:to>
    <xdr:pic>
      <xdr:nvPicPr>
        <xdr:cNvPr id="36096" name="Picture 11" descr="PT_TAB1BII_1">
          <a:extLst>
            <a:ext uri="{FF2B5EF4-FFF2-40B4-BE49-F238E27FC236}">
              <a16:creationId xmlns:a16="http://schemas.microsoft.com/office/drawing/2014/main" id="{016D4210-E079-EB6C-9627-2BC7EE2521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73200" y="4419600"/>
          <a:ext cx="1016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24</xdr:row>
      <xdr:rowOff>0</xdr:rowOff>
    </xdr:from>
    <xdr:to>
      <xdr:col>1</xdr:col>
      <xdr:colOff>107950</xdr:colOff>
      <xdr:row>24</xdr:row>
      <xdr:rowOff>12700</xdr:rowOff>
    </xdr:to>
    <xdr:pic>
      <xdr:nvPicPr>
        <xdr:cNvPr id="36097" name="Picture 12" descr="PT_TAB1BII_1">
          <a:extLst>
            <a:ext uri="{FF2B5EF4-FFF2-40B4-BE49-F238E27FC236}">
              <a16:creationId xmlns:a16="http://schemas.microsoft.com/office/drawing/2014/main" id="{5E90A29A-BD16-22C5-FB28-D7B305B1B2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 y="44196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24</xdr:row>
      <xdr:rowOff>0</xdr:rowOff>
    </xdr:from>
    <xdr:to>
      <xdr:col>5</xdr:col>
      <xdr:colOff>107950</xdr:colOff>
      <xdr:row>24</xdr:row>
      <xdr:rowOff>12700</xdr:rowOff>
    </xdr:to>
    <xdr:pic>
      <xdr:nvPicPr>
        <xdr:cNvPr id="36098" name="Picture 13" descr="PT_TAB1BII_1">
          <a:extLst>
            <a:ext uri="{FF2B5EF4-FFF2-40B4-BE49-F238E27FC236}">
              <a16:creationId xmlns:a16="http://schemas.microsoft.com/office/drawing/2014/main" id="{3778C418-939B-5059-1990-10FF28F2E6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27500" y="44196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24</xdr:row>
      <xdr:rowOff>0</xdr:rowOff>
    </xdr:from>
    <xdr:to>
      <xdr:col>5</xdr:col>
      <xdr:colOff>107950</xdr:colOff>
      <xdr:row>24</xdr:row>
      <xdr:rowOff>12700</xdr:rowOff>
    </xdr:to>
    <xdr:pic>
      <xdr:nvPicPr>
        <xdr:cNvPr id="36099" name="Picture 14" descr="PT_TAB1BII_1">
          <a:extLst>
            <a:ext uri="{FF2B5EF4-FFF2-40B4-BE49-F238E27FC236}">
              <a16:creationId xmlns:a16="http://schemas.microsoft.com/office/drawing/2014/main" id="{9EFA094E-D824-ACDF-3B0D-B89B1531EF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27500" y="44196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24</xdr:row>
      <xdr:rowOff>0</xdr:rowOff>
    </xdr:from>
    <xdr:to>
      <xdr:col>1</xdr:col>
      <xdr:colOff>107950</xdr:colOff>
      <xdr:row>24</xdr:row>
      <xdr:rowOff>12700</xdr:rowOff>
    </xdr:to>
    <xdr:pic>
      <xdr:nvPicPr>
        <xdr:cNvPr id="36100" name="Picture 15" descr="PT_TAB1BII_1">
          <a:extLst>
            <a:ext uri="{FF2B5EF4-FFF2-40B4-BE49-F238E27FC236}">
              <a16:creationId xmlns:a16="http://schemas.microsoft.com/office/drawing/2014/main" id="{95CE87E4-B38D-6D47-8109-E246787C19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 y="44196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24</xdr:row>
      <xdr:rowOff>0</xdr:rowOff>
    </xdr:from>
    <xdr:to>
      <xdr:col>5</xdr:col>
      <xdr:colOff>107950</xdr:colOff>
      <xdr:row>24</xdr:row>
      <xdr:rowOff>12700</xdr:rowOff>
    </xdr:to>
    <xdr:pic>
      <xdr:nvPicPr>
        <xdr:cNvPr id="36101" name="Picture 16" descr="PT_TAB1BII_1">
          <a:extLst>
            <a:ext uri="{FF2B5EF4-FFF2-40B4-BE49-F238E27FC236}">
              <a16:creationId xmlns:a16="http://schemas.microsoft.com/office/drawing/2014/main" id="{E54E535C-2EF1-BD04-9C42-B123CC8EC4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27500" y="44196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7</xdr:row>
      <xdr:rowOff>0</xdr:rowOff>
    </xdr:from>
    <xdr:to>
      <xdr:col>0</xdr:col>
      <xdr:colOff>82550</xdr:colOff>
      <xdr:row>7</xdr:row>
      <xdr:rowOff>6350</xdr:rowOff>
    </xdr:to>
    <xdr:pic>
      <xdr:nvPicPr>
        <xdr:cNvPr id="31330" name="Picture 1" descr="PT_TAB1LIX_1">
          <a:extLst>
            <a:ext uri="{FF2B5EF4-FFF2-40B4-BE49-F238E27FC236}">
              <a16:creationId xmlns:a16="http://schemas.microsoft.com/office/drawing/2014/main" id="{D03131EB-195D-F38D-5195-0ECE4E1DD0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57300"/>
          <a:ext cx="825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7</xdr:row>
      <xdr:rowOff>0</xdr:rowOff>
    </xdr:from>
    <xdr:to>
      <xdr:col>0</xdr:col>
      <xdr:colOff>101600</xdr:colOff>
      <xdr:row>7</xdr:row>
      <xdr:rowOff>6350</xdr:rowOff>
    </xdr:to>
    <xdr:pic>
      <xdr:nvPicPr>
        <xdr:cNvPr id="31331" name="Picture 2" descr="PT_TAB1BII_1">
          <a:extLst>
            <a:ext uri="{FF2B5EF4-FFF2-40B4-BE49-F238E27FC236}">
              <a16:creationId xmlns:a16="http://schemas.microsoft.com/office/drawing/2014/main" id="{B6917103-BCD4-BFFA-598E-7593CAA37B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257300"/>
          <a:ext cx="10160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7</xdr:row>
      <xdr:rowOff>0</xdr:rowOff>
    </xdr:from>
    <xdr:to>
      <xdr:col>3</xdr:col>
      <xdr:colOff>101600</xdr:colOff>
      <xdr:row>7</xdr:row>
      <xdr:rowOff>6350</xdr:rowOff>
    </xdr:to>
    <xdr:pic>
      <xdr:nvPicPr>
        <xdr:cNvPr id="31332" name="Picture 3" descr="PT_TAB1BII_1">
          <a:extLst>
            <a:ext uri="{FF2B5EF4-FFF2-40B4-BE49-F238E27FC236}">
              <a16:creationId xmlns:a16="http://schemas.microsoft.com/office/drawing/2014/main" id="{B235D8DC-C025-8976-5231-8BC2C4743E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120900" y="1257300"/>
          <a:ext cx="10160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7</xdr:row>
      <xdr:rowOff>0</xdr:rowOff>
    </xdr:from>
    <xdr:to>
      <xdr:col>2</xdr:col>
      <xdr:colOff>107950</xdr:colOff>
      <xdr:row>7</xdr:row>
      <xdr:rowOff>6350</xdr:rowOff>
    </xdr:to>
    <xdr:pic>
      <xdr:nvPicPr>
        <xdr:cNvPr id="31333" name="Picture 4" descr="PT_TAB1BII_1">
          <a:extLst>
            <a:ext uri="{FF2B5EF4-FFF2-40B4-BE49-F238E27FC236}">
              <a16:creationId xmlns:a16="http://schemas.microsoft.com/office/drawing/2014/main" id="{BAF377A6-183B-7122-BED3-756035F294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6000" y="12573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7</xdr:row>
      <xdr:rowOff>0</xdr:rowOff>
    </xdr:from>
    <xdr:to>
      <xdr:col>5</xdr:col>
      <xdr:colOff>107950</xdr:colOff>
      <xdr:row>7</xdr:row>
      <xdr:rowOff>6350</xdr:rowOff>
    </xdr:to>
    <xdr:pic>
      <xdr:nvPicPr>
        <xdr:cNvPr id="31334" name="Picture 5" descr="PT_TAB1BII_1">
          <a:extLst>
            <a:ext uri="{FF2B5EF4-FFF2-40B4-BE49-F238E27FC236}">
              <a16:creationId xmlns:a16="http://schemas.microsoft.com/office/drawing/2014/main" id="{F7FBF9F0-B2B8-5AAB-81A6-DC7C3C8527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75200" y="12573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xdr:row>
      <xdr:rowOff>0</xdr:rowOff>
    </xdr:from>
    <xdr:to>
      <xdr:col>5</xdr:col>
      <xdr:colOff>107950</xdr:colOff>
      <xdr:row>7</xdr:row>
      <xdr:rowOff>6350</xdr:rowOff>
    </xdr:to>
    <xdr:pic>
      <xdr:nvPicPr>
        <xdr:cNvPr id="31335" name="Picture 6" descr="PT_TAB1BII_1">
          <a:extLst>
            <a:ext uri="{FF2B5EF4-FFF2-40B4-BE49-F238E27FC236}">
              <a16:creationId xmlns:a16="http://schemas.microsoft.com/office/drawing/2014/main" id="{735DDFA2-CE72-665C-A4D4-53D2651A0B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75200" y="12573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7</xdr:row>
      <xdr:rowOff>0</xdr:rowOff>
    </xdr:from>
    <xdr:to>
      <xdr:col>2</xdr:col>
      <xdr:colOff>107950</xdr:colOff>
      <xdr:row>7</xdr:row>
      <xdr:rowOff>6350</xdr:rowOff>
    </xdr:to>
    <xdr:pic>
      <xdr:nvPicPr>
        <xdr:cNvPr id="31336" name="Picture 7" descr="PT_TAB1BII_1">
          <a:extLst>
            <a:ext uri="{FF2B5EF4-FFF2-40B4-BE49-F238E27FC236}">
              <a16:creationId xmlns:a16="http://schemas.microsoft.com/office/drawing/2014/main" id="{491D7D95-0771-6E63-A154-76EB8F702D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6000" y="12573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xdr:row>
      <xdr:rowOff>0</xdr:rowOff>
    </xdr:from>
    <xdr:to>
      <xdr:col>5</xdr:col>
      <xdr:colOff>107950</xdr:colOff>
      <xdr:row>7</xdr:row>
      <xdr:rowOff>6350</xdr:rowOff>
    </xdr:to>
    <xdr:pic>
      <xdr:nvPicPr>
        <xdr:cNvPr id="31337" name="Picture 8" descr="PT_TAB1BII_1">
          <a:extLst>
            <a:ext uri="{FF2B5EF4-FFF2-40B4-BE49-F238E27FC236}">
              <a16:creationId xmlns:a16="http://schemas.microsoft.com/office/drawing/2014/main" id="{5453CF14-0EA4-E581-C0E7-C2E57B4804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75200" y="12573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82550</xdr:colOff>
      <xdr:row>24</xdr:row>
      <xdr:rowOff>12700</xdr:rowOff>
    </xdr:to>
    <xdr:pic>
      <xdr:nvPicPr>
        <xdr:cNvPr id="31338" name="Picture 9" descr="PT_TAB1LIX_1">
          <a:extLst>
            <a:ext uri="{FF2B5EF4-FFF2-40B4-BE49-F238E27FC236}">
              <a16:creationId xmlns:a16="http://schemas.microsoft.com/office/drawing/2014/main" id="{F508C44E-EF33-F371-2D72-46951C31CD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305300"/>
          <a:ext cx="825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101600</xdr:colOff>
      <xdr:row>24</xdr:row>
      <xdr:rowOff>12700</xdr:rowOff>
    </xdr:to>
    <xdr:pic>
      <xdr:nvPicPr>
        <xdr:cNvPr id="31339" name="Picture 10" descr="PT_TAB1BII_1">
          <a:extLst>
            <a:ext uri="{FF2B5EF4-FFF2-40B4-BE49-F238E27FC236}">
              <a16:creationId xmlns:a16="http://schemas.microsoft.com/office/drawing/2014/main" id="{C61A771E-B07B-41BE-2339-03C3A6FB25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305300"/>
          <a:ext cx="1016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24</xdr:row>
      <xdr:rowOff>0</xdr:rowOff>
    </xdr:from>
    <xdr:to>
      <xdr:col>3</xdr:col>
      <xdr:colOff>101600</xdr:colOff>
      <xdr:row>24</xdr:row>
      <xdr:rowOff>12700</xdr:rowOff>
    </xdr:to>
    <xdr:pic>
      <xdr:nvPicPr>
        <xdr:cNvPr id="31340" name="Picture 11" descr="PT_TAB1BII_1">
          <a:extLst>
            <a:ext uri="{FF2B5EF4-FFF2-40B4-BE49-F238E27FC236}">
              <a16:creationId xmlns:a16="http://schemas.microsoft.com/office/drawing/2014/main" id="{3989B950-9A35-01CD-25DF-0E3C9249FE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120900" y="4305300"/>
          <a:ext cx="1016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24</xdr:row>
      <xdr:rowOff>0</xdr:rowOff>
    </xdr:from>
    <xdr:to>
      <xdr:col>2</xdr:col>
      <xdr:colOff>107950</xdr:colOff>
      <xdr:row>24</xdr:row>
      <xdr:rowOff>12700</xdr:rowOff>
    </xdr:to>
    <xdr:pic>
      <xdr:nvPicPr>
        <xdr:cNvPr id="31341" name="Picture 12" descr="PT_TAB1BII_1">
          <a:extLst>
            <a:ext uri="{FF2B5EF4-FFF2-40B4-BE49-F238E27FC236}">
              <a16:creationId xmlns:a16="http://schemas.microsoft.com/office/drawing/2014/main" id="{892D347B-778C-37D4-D881-34A4067D5E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6000" y="43053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24</xdr:row>
      <xdr:rowOff>0</xdr:rowOff>
    </xdr:from>
    <xdr:to>
      <xdr:col>5</xdr:col>
      <xdr:colOff>107950</xdr:colOff>
      <xdr:row>24</xdr:row>
      <xdr:rowOff>12700</xdr:rowOff>
    </xdr:to>
    <xdr:pic>
      <xdr:nvPicPr>
        <xdr:cNvPr id="31342" name="Picture 13" descr="PT_TAB1BII_1">
          <a:extLst>
            <a:ext uri="{FF2B5EF4-FFF2-40B4-BE49-F238E27FC236}">
              <a16:creationId xmlns:a16="http://schemas.microsoft.com/office/drawing/2014/main" id="{6EA69429-5DC0-3C60-71C4-72E24A59F5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75200" y="43053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24</xdr:row>
      <xdr:rowOff>0</xdr:rowOff>
    </xdr:from>
    <xdr:to>
      <xdr:col>5</xdr:col>
      <xdr:colOff>107950</xdr:colOff>
      <xdr:row>24</xdr:row>
      <xdr:rowOff>12700</xdr:rowOff>
    </xdr:to>
    <xdr:pic>
      <xdr:nvPicPr>
        <xdr:cNvPr id="31343" name="Picture 14" descr="PT_TAB1BII_1">
          <a:extLst>
            <a:ext uri="{FF2B5EF4-FFF2-40B4-BE49-F238E27FC236}">
              <a16:creationId xmlns:a16="http://schemas.microsoft.com/office/drawing/2014/main" id="{16BDB17F-9DA0-DEC2-754F-2051E7F5C9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75200" y="43053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24</xdr:row>
      <xdr:rowOff>0</xdr:rowOff>
    </xdr:from>
    <xdr:to>
      <xdr:col>2</xdr:col>
      <xdr:colOff>107950</xdr:colOff>
      <xdr:row>24</xdr:row>
      <xdr:rowOff>12700</xdr:rowOff>
    </xdr:to>
    <xdr:pic>
      <xdr:nvPicPr>
        <xdr:cNvPr id="31344" name="Picture 15" descr="PT_TAB1BII_1">
          <a:extLst>
            <a:ext uri="{FF2B5EF4-FFF2-40B4-BE49-F238E27FC236}">
              <a16:creationId xmlns:a16="http://schemas.microsoft.com/office/drawing/2014/main" id="{D6371BC4-E5E0-3C72-A445-D31C91E9FC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6000" y="43053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24</xdr:row>
      <xdr:rowOff>0</xdr:rowOff>
    </xdr:from>
    <xdr:to>
      <xdr:col>5</xdr:col>
      <xdr:colOff>107950</xdr:colOff>
      <xdr:row>24</xdr:row>
      <xdr:rowOff>12700</xdr:rowOff>
    </xdr:to>
    <xdr:pic>
      <xdr:nvPicPr>
        <xdr:cNvPr id="31345" name="Picture 16" descr="PT_TAB1BII_1">
          <a:extLst>
            <a:ext uri="{FF2B5EF4-FFF2-40B4-BE49-F238E27FC236}">
              <a16:creationId xmlns:a16="http://schemas.microsoft.com/office/drawing/2014/main" id="{4D68C3B6-413E-93D8-F669-EBBE19F438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75200" y="43053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7</xdr:row>
      <xdr:rowOff>0</xdr:rowOff>
    </xdr:from>
    <xdr:to>
      <xdr:col>0</xdr:col>
      <xdr:colOff>82550</xdr:colOff>
      <xdr:row>7</xdr:row>
      <xdr:rowOff>6350</xdr:rowOff>
    </xdr:to>
    <xdr:pic>
      <xdr:nvPicPr>
        <xdr:cNvPr id="39970" name="Picture 1" descr="PT_TAB1LIX_1">
          <a:extLst>
            <a:ext uri="{FF2B5EF4-FFF2-40B4-BE49-F238E27FC236}">
              <a16:creationId xmlns:a16="http://schemas.microsoft.com/office/drawing/2014/main" id="{A0E787B3-341E-8C03-6397-96D557BDB4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57300"/>
          <a:ext cx="825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7</xdr:row>
      <xdr:rowOff>0</xdr:rowOff>
    </xdr:from>
    <xdr:to>
      <xdr:col>0</xdr:col>
      <xdr:colOff>101600</xdr:colOff>
      <xdr:row>7</xdr:row>
      <xdr:rowOff>6350</xdr:rowOff>
    </xdr:to>
    <xdr:pic>
      <xdr:nvPicPr>
        <xdr:cNvPr id="39971" name="Picture 2" descr="PT_TAB1BII_1">
          <a:extLst>
            <a:ext uri="{FF2B5EF4-FFF2-40B4-BE49-F238E27FC236}">
              <a16:creationId xmlns:a16="http://schemas.microsoft.com/office/drawing/2014/main" id="{4001B629-D2E1-A75B-0558-1E477788B8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257300"/>
          <a:ext cx="10160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7</xdr:row>
      <xdr:rowOff>0</xdr:rowOff>
    </xdr:from>
    <xdr:to>
      <xdr:col>3</xdr:col>
      <xdr:colOff>101600</xdr:colOff>
      <xdr:row>7</xdr:row>
      <xdr:rowOff>6350</xdr:rowOff>
    </xdr:to>
    <xdr:pic>
      <xdr:nvPicPr>
        <xdr:cNvPr id="39972" name="Picture 3" descr="PT_TAB1BII_1">
          <a:extLst>
            <a:ext uri="{FF2B5EF4-FFF2-40B4-BE49-F238E27FC236}">
              <a16:creationId xmlns:a16="http://schemas.microsoft.com/office/drawing/2014/main" id="{683B207E-E60E-86DF-0C05-6E37276323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120900" y="1257300"/>
          <a:ext cx="10160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7</xdr:row>
      <xdr:rowOff>0</xdr:rowOff>
    </xdr:from>
    <xdr:to>
      <xdr:col>2</xdr:col>
      <xdr:colOff>107950</xdr:colOff>
      <xdr:row>7</xdr:row>
      <xdr:rowOff>6350</xdr:rowOff>
    </xdr:to>
    <xdr:pic>
      <xdr:nvPicPr>
        <xdr:cNvPr id="39973" name="Picture 4" descr="PT_TAB1BII_1">
          <a:extLst>
            <a:ext uri="{FF2B5EF4-FFF2-40B4-BE49-F238E27FC236}">
              <a16:creationId xmlns:a16="http://schemas.microsoft.com/office/drawing/2014/main" id="{01AE2E17-9051-A6E4-F1E8-7F07FA78F5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6000" y="12573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7</xdr:row>
      <xdr:rowOff>0</xdr:rowOff>
    </xdr:from>
    <xdr:to>
      <xdr:col>5</xdr:col>
      <xdr:colOff>107950</xdr:colOff>
      <xdr:row>7</xdr:row>
      <xdr:rowOff>6350</xdr:rowOff>
    </xdr:to>
    <xdr:pic>
      <xdr:nvPicPr>
        <xdr:cNvPr id="39974" name="Picture 5" descr="PT_TAB1BII_1">
          <a:extLst>
            <a:ext uri="{FF2B5EF4-FFF2-40B4-BE49-F238E27FC236}">
              <a16:creationId xmlns:a16="http://schemas.microsoft.com/office/drawing/2014/main" id="{77707319-9462-B7B9-48DA-6A037340B9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75200" y="12573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xdr:row>
      <xdr:rowOff>0</xdr:rowOff>
    </xdr:from>
    <xdr:to>
      <xdr:col>5</xdr:col>
      <xdr:colOff>107950</xdr:colOff>
      <xdr:row>7</xdr:row>
      <xdr:rowOff>6350</xdr:rowOff>
    </xdr:to>
    <xdr:pic>
      <xdr:nvPicPr>
        <xdr:cNvPr id="39975" name="Picture 6" descr="PT_TAB1BII_1">
          <a:extLst>
            <a:ext uri="{FF2B5EF4-FFF2-40B4-BE49-F238E27FC236}">
              <a16:creationId xmlns:a16="http://schemas.microsoft.com/office/drawing/2014/main" id="{99D6B943-5D9B-F5CB-3BF4-208EA94156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75200" y="12573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7</xdr:row>
      <xdr:rowOff>0</xdr:rowOff>
    </xdr:from>
    <xdr:to>
      <xdr:col>2</xdr:col>
      <xdr:colOff>107950</xdr:colOff>
      <xdr:row>7</xdr:row>
      <xdr:rowOff>6350</xdr:rowOff>
    </xdr:to>
    <xdr:pic>
      <xdr:nvPicPr>
        <xdr:cNvPr id="39976" name="Picture 7" descr="PT_TAB1BII_1">
          <a:extLst>
            <a:ext uri="{FF2B5EF4-FFF2-40B4-BE49-F238E27FC236}">
              <a16:creationId xmlns:a16="http://schemas.microsoft.com/office/drawing/2014/main" id="{0B0EF5E4-B7CD-685F-FD55-45D44E9F8E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6000" y="12573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xdr:row>
      <xdr:rowOff>0</xdr:rowOff>
    </xdr:from>
    <xdr:to>
      <xdr:col>5</xdr:col>
      <xdr:colOff>107950</xdr:colOff>
      <xdr:row>7</xdr:row>
      <xdr:rowOff>6350</xdr:rowOff>
    </xdr:to>
    <xdr:pic>
      <xdr:nvPicPr>
        <xdr:cNvPr id="39977" name="Picture 8" descr="PT_TAB1BII_1">
          <a:extLst>
            <a:ext uri="{FF2B5EF4-FFF2-40B4-BE49-F238E27FC236}">
              <a16:creationId xmlns:a16="http://schemas.microsoft.com/office/drawing/2014/main" id="{24121AA3-2ACE-C8FD-2B3D-9C4773242E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75200" y="12573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82550</xdr:colOff>
      <xdr:row>24</xdr:row>
      <xdr:rowOff>12700</xdr:rowOff>
    </xdr:to>
    <xdr:pic>
      <xdr:nvPicPr>
        <xdr:cNvPr id="39978" name="Picture 9" descr="PT_TAB1LIX_1">
          <a:extLst>
            <a:ext uri="{FF2B5EF4-FFF2-40B4-BE49-F238E27FC236}">
              <a16:creationId xmlns:a16="http://schemas.microsoft.com/office/drawing/2014/main" id="{325FDB4F-5013-9FEE-5161-7BD1310B62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305300"/>
          <a:ext cx="825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101600</xdr:colOff>
      <xdr:row>24</xdr:row>
      <xdr:rowOff>12700</xdr:rowOff>
    </xdr:to>
    <xdr:pic>
      <xdr:nvPicPr>
        <xdr:cNvPr id="39979" name="Picture 10" descr="PT_TAB1BII_1">
          <a:extLst>
            <a:ext uri="{FF2B5EF4-FFF2-40B4-BE49-F238E27FC236}">
              <a16:creationId xmlns:a16="http://schemas.microsoft.com/office/drawing/2014/main" id="{D61E03EB-747A-D0D8-981A-8C0339D9CB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305300"/>
          <a:ext cx="1016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24</xdr:row>
      <xdr:rowOff>0</xdr:rowOff>
    </xdr:from>
    <xdr:to>
      <xdr:col>3</xdr:col>
      <xdr:colOff>101600</xdr:colOff>
      <xdr:row>24</xdr:row>
      <xdr:rowOff>12700</xdr:rowOff>
    </xdr:to>
    <xdr:pic>
      <xdr:nvPicPr>
        <xdr:cNvPr id="39980" name="Picture 11" descr="PT_TAB1BII_1">
          <a:extLst>
            <a:ext uri="{FF2B5EF4-FFF2-40B4-BE49-F238E27FC236}">
              <a16:creationId xmlns:a16="http://schemas.microsoft.com/office/drawing/2014/main" id="{1B99B682-E901-102B-E9BE-0ED0CE31B7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120900" y="4305300"/>
          <a:ext cx="1016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24</xdr:row>
      <xdr:rowOff>0</xdr:rowOff>
    </xdr:from>
    <xdr:to>
      <xdr:col>2</xdr:col>
      <xdr:colOff>107950</xdr:colOff>
      <xdr:row>24</xdr:row>
      <xdr:rowOff>12700</xdr:rowOff>
    </xdr:to>
    <xdr:pic>
      <xdr:nvPicPr>
        <xdr:cNvPr id="39981" name="Picture 12" descr="PT_TAB1BII_1">
          <a:extLst>
            <a:ext uri="{FF2B5EF4-FFF2-40B4-BE49-F238E27FC236}">
              <a16:creationId xmlns:a16="http://schemas.microsoft.com/office/drawing/2014/main" id="{F43C35C6-3CEE-532B-645D-1FC72279A4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6000" y="43053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24</xdr:row>
      <xdr:rowOff>0</xdr:rowOff>
    </xdr:from>
    <xdr:to>
      <xdr:col>5</xdr:col>
      <xdr:colOff>107950</xdr:colOff>
      <xdr:row>24</xdr:row>
      <xdr:rowOff>12700</xdr:rowOff>
    </xdr:to>
    <xdr:pic>
      <xdr:nvPicPr>
        <xdr:cNvPr id="39982" name="Picture 13" descr="PT_TAB1BII_1">
          <a:extLst>
            <a:ext uri="{FF2B5EF4-FFF2-40B4-BE49-F238E27FC236}">
              <a16:creationId xmlns:a16="http://schemas.microsoft.com/office/drawing/2014/main" id="{37ABBBAA-7DE7-BB8F-FB2F-714FBE88E9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75200" y="43053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24</xdr:row>
      <xdr:rowOff>0</xdr:rowOff>
    </xdr:from>
    <xdr:to>
      <xdr:col>5</xdr:col>
      <xdr:colOff>107950</xdr:colOff>
      <xdr:row>24</xdr:row>
      <xdr:rowOff>12700</xdr:rowOff>
    </xdr:to>
    <xdr:pic>
      <xdr:nvPicPr>
        <xdr:cNvPr id="39983" name="Picture 14" descr="PT_TAB1BII_1">
          <a:extLst>
            <a:ext uri="{FF2B5EF4-FFF2-40B4-BE49-F238E27FC236}">
              <a16:creationId xmlns:a16="http://schemas.microsoft.com/office/drawing/2014/main" id="{FD2EFDD9-E444-53E0-51DE-75A3C760B8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75200" y="43053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24</xdr:row>
      <xdr:rowOff>0</xdr:rowOff>
    </xdr:from>
    <xdr:to>
      <xdr:col>2</xdr:col>
      <xdr:colOff>107950</xdr:colOff>
      <xdr:row>24</xdr:row>
      <xdr:rowOff>12700</xdr:rowOff>
    </xdr:to>
    <xdr:pic>
      <xdr:nvPicPr>
        <xdr:cNvPr id="39984" name="Picture 15" descr="PT_TAB1BII_1">
          <a:extLst>
            <a:ext uri="{FF2B5EF4-FFF2-40B4-BE49-F238E27FC236}">
              <a16:creationId xmlns:a16="http://schemas.microsoft.com/office/drawing/2014/main" id="{F957AC94-BEA7-E3AC-E11D-3A6C2B6B10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6000" y="43053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24</xdr:row>
      <xdr:rowOff>0</xdr:rowOff>
    </xdr:from>
    <xdr:to>
      <xdr:col>5</xdr:col>
      <xdr:colOff>107950</xdr:colOff>
      <xdr:row>24</xdr:row>
      <xdr:rowOff>12700</xdr:rowOff>
    </xdr:to>
    <xdr:pic>
      <xdr:nvPicPr>
        <xdr:cNvPr id="39985" name="Picture 16" descr="PT_TAB1BII_1">
          <a:extLst>
            <a:ext uri="{FF2B5EF4-FFF2-40B4-BE49-F238E27FC236}">
              <a16:creationId xmlns:a16="http://schemas.microsoft.com/office/drawing/2014/main" id="{C8B7CB19-859A-9D78-A677-A2E014978E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75200" y="43053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7</xdr:row>
      <xdr:rowOff>0</xdr:rowOff>
    </xdr:from>
    <xdr:to>
      <xdr:col>0</xdr:col>
      <xdr:colOff>82550</xdr:colOff>
      <xdr:row>7</xdr:row>
      <xdr:rowOff>6350</xdr:rowOff>
    </xdr:to>
    <xdr:pic>
      <xdr:nvPicPr>
        <xdr:cNvPr id="25282" name="Picture 1" descr="PT_TAB1LIX_1">
          <a:extLst>
            <a:ext uri="{FF2B5EF4-FFF2-40B4-BE49-F238E27FC236}">
              <a16:creationId xmlns:a16="http://schemas.microsoft.com/office/drawing/2014/main" id="{8A3DF3EC-569D-30EF-FCEA-C07CFA6BF4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57300"/>
          <a:ext cx="825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7</xdr:row>
      <xdr:rowOff>0</xdr:rowOff>
    </xdr:from>
    <xdr:to>
      <xdr:col>0</xdr:col>
      <xdr:colOff>101600</xdr:colOff>
      <xdr:row>7</xdr:row>
      <xdr:rowOff>6350</xdr:rowOff>
    </xdr:to>
    <xdr:pic>
      <xdr:nvPicPr>
        <xdr:cNvPr id="25283" name="Picture 2" descr="PT_TAB1BII_1">
          <a:extLst>
            <a:ext uri="{FF2B5EF4-FFF2-40B4-BE49-F238E27FC236}">
              <a16:creationId xmlns:a16="http://schemas.microsoft.com/office/drawing/2014/main" id="{E58E5FBC-7FBB-BD2D-3FAF-CA4E686E23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257300"/>
          <a:ext cx="10160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7</xdr:row>
      <xdr:rowOff>0</xdr:rowOff>
    </xdr:from>
    <xdr:to>
      <xdr:col>3</xdr:col>
      <xdr:colOff>101600</xdr:colOff>
      <xdr:row>7</xdr:row>
      <xdr:rowOff>6350</xdr:rowOff>
    </xdr:to>
    <xdr:pic>
      <xdr:nvPicPr>
        <xdr:cNvPr id="25284" name="Picture 3" descr="PT_TAB1BII_1">
          <a:extLst>
            <a:ext uri="{FF2B5EF4-FFF2-40B4-BE49-F238E27FC236}">
              <a16:creationId xmlns:a16="http://schemas.microsoft.com/office/drawing/2014/main" id="{DFCA5527-FECF-DE0D-7D0A-1A5228272F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120900" y="1257300"/>
          <a:ext cx="10160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7</xdr:row>
      <xdr:rowOff>0</xdr:rowOff>
    </xdr:from>
    <xdr:to>
      <xdr:col>2</xdr:col>
      <xdr:colOff>107950</xdr:colOff>
      <xdr:row>7</xdr:row>
      <xdr:rowOff>6350</xdr:rowOff>
    </xdr:to>
    <xdr:pic>
      <xdr:nvPicPr>
        <xdr:cNvPr id="25285" name="Picture 4" descr="PT_TAB1BII_1">
          <a:extLst>
            <a:ext uri="{FF2B5EF4-FFF2-40B4-BE49-F238E27FC236}">
              <a16:creationId xmlns:a16="http://schemas.microsoft.com/office/drawing/2014/main" id="{D2D0CD6C-DCCD-118A-29AF-506EAA7406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6000" y="12573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7</xdr:row>
      <xdr:rowOff>0</xdr:rowOff>
    </xdr:from>
    <xdr:to>
      <xdr:col>5</xdr:col>
      <xdr:colOff>107950</xdr:colOff>
      <xdr:row>7</xdr:row>
      <xdr:rowOff>6350</xdr:rowOff>
    </xdr:to>
    <xdr:pic>
      <xdr:nvPicPr>
        <xdr:cNvPr id="25286" name="Picture 5" descr="PT_TAB1BII_1">
          <a:extLst>
            <a:ext uri="{FF2B5EF4-FFF2-40B4-BE49-F238E27FC236}">
              <a16:creationId xmlns:a16="http://schemas.microsoft.com/office/drawing/2014/main" id="{FEAD0F4A-01F2-0011-5CAE-75CD447E80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75200" y="12573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xdr:row>
      <xdr:rowOff>0</xdr:rowOff>
    </xdr:from>
    <xdr:to>
      <xdr:col>5</xdr:col>
      <xdr:colOff>107950</xdr:colOff>
      <xdr:row>7</xdr:row>
      <xdr:rowOff>6350</xdr:rowOff>
    </xdr:to>
    <xdr:pic>
      <xdr:nvPicPr>
        <xdr:cNvPr id="25287" name="Picture 6" descr="PT_TAB1BII_1">
          <a:extLst>
            <a:ext uri="{FF2B5EF4-FFF2-40B4-BE49-F238E27FC236}">
              <a16:creationId xmlns:a16="http://schemas.microsoft.com/office/drawing/2014/main" id="{0A109884-17F9-8089-FC5D-564F33AE79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75200" y="12573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7</xdr:row>
      <xdr:rowOff>0</xdr:rowOff>
    </xdr:from>
    <xdr:to>
      <xdr:col>2</xdr:col>
      <xdr:colOff>107950</xdr:colOff>
      <xdr:row>7</xdr:row>
      <xdr:rowOff>6350</xdr:rowOff>
    </xdr:to>
    <xdr:pic>
      <xdr:nvPicPr>
        <xdr:cNvPr id="25288" name="Picture 7" descr="PT_TAB1BII_1">
          <a:extLst>
            <a:ext uri="{FF2B5EF4-FFF2-40B4-BE49-F238E27FC236}">
              <a16:creationId xmlns:a16="http://schemas.microsoft.com/office/drawing/2014/main" id="{DF8E1322-376C-E931-5AD2-F8CC50DCD7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6000" y="12573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xdr:row>
      <xdr:rowOff>0</xdr:rowOff>
    </xdr:from>
    <xdr:to>
      <xdr:col>5</xdr:col>
      <xdr:colOff>107950</xdr:colOff>
      <xdr:row>7</xdr:row>
      <xdr:rowOff>6350</xdr:rowOff>
    </xdr:to>
    <xdr:pic>
      <xdr:nvPicPr>
        <xdr:cNvPr id="25289" name="Picture 8" descr="PT_TAB1BII_1">
          <a:extLst>
            <a:ext uri="{FF2B5EF4-FFF2-40B4-BE49-F238E27FC236}">
              <a16:creationId xmlns:a16="http://schemas.microsoft.com/office/drawing/2014/main" id="{6AA776F1-1498-FAFE-4CA6-F6F635F90B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75200" y="12573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82550</xdr:colOff>
      <xdr:row>24</xdr:row>
      <xdr:rowOff>12700</xdr:rowOff>
    </xdr:to>
    <xdr:pic>
      <xdr:nvPicPr>
        <xdr:cNvPr id="25290" name="Picture 9" descr="PT_TAB1LIX_1">
          <a:extLst>
            <a:ext uri="{FF2B5EF4-FFF2-40B4-BE49-F238E27FC236}">
              <a16:creationId xmlns:a16="http://schemas.microsoft.com/office/drawing/2014/main" id="{752357B8-404F-B926-ECD0-471EF83425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305300"/>
          <a:ext cx="825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101600</xdr:colOff>
      <xdr:row>24</xdr:row>
      <xdr:rowOff>12700</xdr:rowOff>
    </xdr:to>
    <xdr:pic>
      <xdr:nvPicPr>
        <xdr:cNvPr id="25291" name="Picture 10" descr="PT_TAB1BII_1">
          <a:extLst>
            <a:ext uri="{FF2B5EF4-FFF2-40B4-BE49-F238E27FC236}">
              <a16:creationId xmlns:a16="http://schemas.microsoft.com/office/drawing/2014/main" id="{2036C006-3AD3-24FA-9E3F-3394C0BBED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305300"/>
          <a:ext cx="1016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24</xdr:row>
      <xdr:rowOff>0</xdr:rowOff>
    </xdr:from>
    <xdr:to>
      <xdr:col>3</xdr:col>
      <xdr:colOff>101600</xdr:colOff>
      <xdr:row>24</xdr:row>
      <xdr:rowOff>12700</xdr:rowOff>
    </xdr:to>
    <xdr:pic>
      <xdr:nvPicPr>
        <xdr:cNvPr id="25292" name="Picture 11" descr="PT_TAB1BII_1">
          <a:extLst>
            <a:ext uri="{FF2B5EF4-FFF2-40B4-BE49-F238E27FC236}">
              <a16:creationId xmlns:a16="http://schemas.microsoft.com/office/drawing/2014/main" id="{14EA870F-7378-41C5-D4D9-C5C56BBFBA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120900" y="4305300"/>
          <a:ext cx="1016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24</xdr:row>
      <xdr:rowOff>0</xdr:rowOff>
    </xdr:from>
    <xdr:to>
      <xdr:col>2</xdr:col>
      <xdr:colOff>107950</xdr:colOff>
      <xdr:row>24</xdr:row>
      <xdr:rowOff>12700</xdr:rowOff>
    </xdr:to>
    <xdr:pic>
      <xdr:nvPicPr>
        <xdr:cNvPr id="25293" name="Picture 12" descr="PT_TAB1BII_1">
          <a:extLst>
            <a:ext uri="{FF2B5EF4-FFF2-40B4-BE49-F238E27FC236}">
              <a16:creationId xmlns:a16="http://schemas.microsoft.com/office/drawing/2014/main" id="{9F971BB4-4E56-7F28-C4E9-010A1EA9E6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6000" y="43053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24</xdr:row>
      <xdr:rowOff>0</xdr:rowOff>
    </xdr:from>
    <xdr:to>
      <xdr:col>5</xdr:col>
      <xdr:colOff>107950</xdr:colOff>
      <xdr:row>24</xdr:row>
      <xdr:rowOff>12700</xdr:rowOff>
    </xdr:to>
    <xdr:pic>
      <xdr:nvPicPr>
        <xdr:cNvPr id="25294" name="Picture 13" descr="PT_TAB1BII_1">
          <a:extLst>
            <a:ext uri="{FF2B5EF4-FFF2-40B4-BE49-F238E27FC236}">
              <a16:creationId xmlns:a16="http://schemas.microsoft.com/office/drawing/2014/main" id="{B58B7D26-2C8F-C2DC-D313-1423FE47A7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75200" y="43053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24</xdr:row>
      <xdr:rowOff>0</xdr:rowOff>
    </xdr:from>
    <xdr:to>
      <xdr:col>5</xdr:col>
      <xdr:colOff>107950</xdr:colOff>
      <xdr:row>24</xdr:row>
      <xdr:rowOff>12700</xdr:rowOff>
    </xdr:to>
    <xdr:pic>
      <xdr:nvPicPr>
        <xdr:cNvPr id="25295" name="Picture 14" descr="PT_TAB1BII_1">
          <a:extLst>
            <a:ext uri="{FF2B5EF4-FFF2-40B4-BE49-F238E27FC236}">
              <a16:creationId xmlns:a16="http://schemas.microsoft.com/office/drawing/2014/main" id="{F5E38E1F-52B3-5952-890B-C3F850029E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75200" y="43053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24</xdr:row>
      <xdr:rowOff>0</xdr:rowOff>
    </xdr:from>
    <xdr:to>
      <xdr:col>2</xdr:col>
      <xdr:colOff>107950</xdr:colOff>
      <xdr:row>24</xdr:row>
      <xdr:rowOff>12700</xdr:rowOff>
    </xdr:to>
    <xdr:pic>
      <xdr:nvPicPr>
        <xdr:cNvPr id="25296" name="Picture 15" descr="PT_TAB1BII_1">
          <a:extLst>
            <a:ext uri="{FF2B5EF4-FFF2-40B4-BE49-F238E27FC236}">
              <a16:creationId xmlns:a16="http://schemas.microsoft.com/office/drawing/2014/main" id="{50444383-BE7F-D7B0-A3D3-F2ABCBD177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6000" y="43053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24</xdr:row>
      <xdr:rowOff>0</xdr:rowOff>
    </xdr:from>
    <xdr:to>
      <xdr:col>5</xdr:col>
      <xdr:colOff>107950</xdr:colOff>
      <xdr:row>24</xdr:row>
      <xdr:rowOff>12700</xdr:rowOff>
    </xdr:to>
    <xdr:pic>
      <xdr:nvPicPr>
        <xdr:cNvPr id="25297" name="Picture 16" descr="PT_TAB1BII_1">
          <a:extLst>
            <a:ext uri="{FF2B5EF4-FFF2-40B4-BE49-F238E27FC236}">
              <a16:creationId xmlns:a16="http://schemas.microsoft.com/office/drawing/2014/main" id="{849BEA32-7531-2A42-93D0-6CBC2A7FAD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75200" y="43053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7</xdr:row>
      <xdr:rowOff>0</xdr:rowOff>
    </xdr:from>
    <xdr:to>
      <xdr:col>0</xdr:col>
      <xdr:colOff>82550</xdr:colOff>
      <xdr:row>7</xdr:row>
      <xdr:rowOff>6350</xdr:rowOff>
    </xdr:to>
    <xdr:pic>
      <xdr:nvPicPr>
        <xdr:cNvPr id="26306" name="Picture 1" descr="PT_TAB1LIX_1">
          <a:extLst>
            <a:ext uri="{FF2B5EF4-FFF2-40B4-BE49-F238E27FC236}">
              <a16:creationId xmlns:a16="http://schemas.microsoft.com/office/drawing/2014/main" id="{9AAA46E2-98D7-1AF1-5451-9A6D59AB6E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57300"/>
          <a:ext cx="825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7</xdr:row>
      <xdr:rowOff>0</xdr:rowOff>
    </xdr:from>
    <xdr:to>
      <xdr:col>0</xdr:col>
      <xdr:colOff>101600</xdr:colOff>
      <xdr:row>7</xdr:row>
      <xdr:rowOff>6350</xdr:rowOff>
    </xdr:to>
    <xdr:pic>
      <xdr:nvPicPr>
        <xdr:cNvPr id="26307" name="Picture 2" descr="PT_TAB1BII_1">
          <a:extLst>
            <a:ext uri="{FF2B5EF4-FFF2-40B4-BE49-F238E27FC236}">
              <a16:creationId xmlns:a16="http://schemas.microsoft.com/office/drawing/2014/main" id="{953DAA0D-B913-E65D-ABAA-8BAFCFA760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257300"/>
          <a:ext cx="10160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7</xdr:row>
      <xdr:rowOff>0</xdr:rowOff>
    </xdr:from>
    <xdr:to>
      <xdr:col>3</xdr:col>
      <xdr:colOff>101600</xdr:colOff>
      <xdr:row>7</xdr:row>
      <xdr:rowOff>6350</xdr:rowOff>
    </xdr:to>
    <xdr:pic>
      <xdr:nvPicPr>
        <xdr:cNvPr id="26308" name="Picture 3" descr="PT_TAB1BII_1">
          <a:extLst>
            <a:ext uri="{FF2B5EF4-FFF2-40B4-BE49-F238E27FC236}">
              <a16:creationId xmlns:a16="http://schemas.microsoft.com/office/drawing/2014/main" id="{961A2C6F-3E5E-57D0-9A82-6D9B978E02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101850" y="1257300"/>
          <a:ext cx="10160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7</xdr:row>
      <xdr:rowOff>0</xdr:rowOff>
    </xdr:from>
    <xdr:to>
      <xdr:col>2</xdr:col>
      <xdr:colOff>107950</xdr:colOff>
      <xdr:row>7</xdr:row>
      <xdr:rowOff>6350</xdr:rowOff>
    </xdr:to>
    <xdr:pic>
      <xdr:nvPicPr>
        <xdr:cNvPr id="26309" name="Picture 4" descr="PT_TAB1BII_1">
          <a:extLst>
            <a:ext uri="{FF2B5EF4-FFF2-40B4-BE49-F238E27FC236}">
              <a16:creationId xmlns:a16="http://schemas.microsoft.com/office/drawing/2014/main" id="{84D6FB67-966F-6DF3-5A8F-D19CF14A5C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6000" y="12573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7</xdr:row>
      <xdr:rowOff>0</xdr:rowOff>
    </xdr:from>
    <xdr:to>
      <xdr:col>5</xdr:col>
      <xdr:colOff>107950</xdr:colOff>
      <xdr:row>7</xdr:row>
      <xdr:rowOff>6350</xdr:rowOff>
    </xdr:to>
    <xdr:pic>
      <xdr:nvPicPr>
        <xdr:cNvPr id="26310" name="Picture 5" descr="PT_TAB1BII_1">
          <a:extLst>
            <a:ext uri="{FF2B5EF4-FFF2-40B4-BE49-F238E27FC236}">
              <a16:creationId xmlns:a16="http://schemas.microsoft.com/office/drawing/2014/main" id="{58EF6CCE-F099-0054-2204-8D647DB6F3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56150" y="12573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xdr:row>
      <xdr:rowOff>0</xdr:rowOff>
    </xdr:from>
    <xdr:to>
      <xdr:col>5</xdr:col>
      <xdr:colOff>107950</xdr:colOff>
      <xdr:row>7</xdr:row>
      <xdr:rowOff>6350</xdr:rowOff>
    </xdr:to>
    <xdr:pic>
      <xdr:nvPicPr>
        <xdr:cNvPr id="26311" name="Picture 6" descr="PT_TAB1BII_1">
          <a:extLst>
            <a:ext uri="{FF2B5EF4-FFF2-40B4-BE49-F238E27FC236}">
              <a16:creationId xmlns:a16="http://schemas.microsoft.com/office/drawing/2014/main" id="{AB475BF3-16E1-CFCB-08F4-2B64ED0AE6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56150" y="12573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7</xdr:row>
      <xdr:rowOff>0</xdr:rowOff>
    </xdr:from>
    <xdr:to>
      <xdr:col>2</xdr:col>
      <xdr:colOff>107950</xdr:colOff>
      <xdr:row>7</xdr:row>
      <xdr:rowOff>6350</xdr:rowOff>
    </xdr:to>
    <xdr:pic>
      <xdr:nvPicPr>
        <xdr:cNvPr id="26312" name="Picture 7" descr="PT_TAB1BII_1">
          <a:extLst>
            <a:ext uri="{FF2B5EF4-FFF2-40B4-BE49-F238E27FC236}">
              <a16:creationId xmlns:a16="http://schemas.microsoft.com/office/drawing/2014/main" id="{90A764F2-0EE3-59FD-2701-50DDD910D0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6000" y="12573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xdr:row>
      <xdr:rowOff>0</xdr:rowOff>
    </xdr:from>
    <xdr:to>
      <xdr:col>5</xdr:col>
      <xdr:colOff>107950</xdr:colOff>
      <xdr:row>7</xdr:row>
      <xdr:rowOff>6350</xdr:rowOff>
    </xdr:to>
    <xdr:pic>
      <xdr:nvPicPr>
        <xdr:cNvPr id="26313" name="Picture 8" descr="PT_TAB1BII_1">
          <a:extLst>
            <a:ext uri="{FF2B5EF4-FFF2-40B4-BE49-F238E27FC236}">
              <a16:creationId xmlns:a16="http://schemas.microsoft.com/office/drawing/2014/main" id="{24826AF8-CAC0-75C1-50C4-3A20AD249F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56150" y="12573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82550</xdr:colOff>
      <xdr:row>24</xdr:row>
      <xdr:rowOff>12700</xdr:rowOff>
    </xdr:to>
    <xdr:pic>
      <xdr:nvPicPr>
        <xdr:cNvPr id="26314" name="Picture 9" descr="PT_TAB1LIX_1">
          <a:extLst>
            <a:ext uri="{FF2B5EF4-FFF2-40B4-BE49-F238E27FC236}">
              <a16:creationId xmlns:a16="http://schemas.microsoft.com/office/drawing/2014/main" id="{6DFF2F07-66CF-7AC2-7FC9-BFDD11BC54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286250"/>
          <a:ext cx="825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101600</xdr:colOff>
      <xdr:row>24</xdr:row>
      <xdr:rowOff>12700</xdr:rowOff>
    </xdr:to>
    <xdr:pic>
      <xdr:nvPicPr>
        <xdr:cNvPr id="26315" name="Picture 10" descr="PT_TAB1BII_1">
          <a:extLst>
            <a:ext uri="{FF2B5EF4-FFF2-40B4-BE49-F238E27FC236}">
              <a16:creationId xmlns:a16="http://schemas.microsoft.com/office/drawing/2014/main" id="{9D799CD1-CE6C-E884-416B-8E7666472C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286250"/>
          <a:ext cx="1016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24</xdr:row>
      <xdr:rowOff>0</xdr:rowOff>
    </xdr:from>
    <xdr:to>
      <xdr:col>3</xdr:col>
      <xdr:colOff>101600</xdr:colOff>
      <xdr:row>24</xdr:row>
      <xdr:rowOff>12700</xdr:rowOff>
    </xdr:to>
    <xdr:pic>
      <xdr:nvPicPr>
        <xdr:cNvPr id="26316" name="Picture 11" descr="PT_TAB1BII_1">
          <a:extLst>
            <a:ext uri="{FF2B5EF4-FFF2-40B4-BE49-F238E27FC236}">
              <a16:creationId xmlns:a16="http://schemas.microsoft.com/office/drawing/2014/main" id="{3A8F3297-3DEC-15D8-4E1D-7D5877170A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101850" y="4286250"/>
          <a:ext cx="1016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24</xdr:row>
      <xdr:rowOff>0</xdr:rowOff>
    </xdr:from>
    <xdr:to>
      <xdr:col>2</xdr:col>
      <xdr:colOff>107950</xdr:colOff>
      <xdr:row>24</xdr:row>
      <xdr:rowOff>12700</xdr:rowOff>
    </xdr:to>
    <xdr:pic>
      <xdr:nvPicPr>
        <xdr:cNvPr id="26317" name="Picture 12" descr="PT_TAB1BII_1">
          <a:extLst>
            <a:ext uri="{FF2B5EF4-FFF2-40B4-BE49-F238E27FC236}">
              <a16:creationId xmlns:a16="http://schemas.microsoft.com/office/drawing/2014/main" id="{6FC48A90-AF44-9F44-0715-CECFCFACFD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6000" y="428625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24</xdr:row>
      <xdr:rowOff>0</xdr:rowOff>
    </xdr:from>
    <xdr:to>
      <xdr:col>5</xdr:col>
      <xdr:colOff>107950</xdr:colOff>
      <xdr:row>24</xdr:row>
      <xdr:rowOff>12700</xdr:rowOff>
    </xdr:to>
    <xdr:pic>
      <xdr:nvPicPr>
        <xdr:cNvPr id="26318" name="Picture 13" descr="PT_TAB1BII_1">
          <a:extLst>
            <a:ext uri="{FF2B5EF4-FFF2-40B4-BE49-F238E27FC236}">
              <a16:creationId xmlns:a16="http://schemas.microsoft.com/office/drawing/2014/main" id="{24A6C055-6B39-DB95-8B80-E1CADD3E3E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56150" y="428625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24</xdr:row>
      <xdr:rowOff>0</xdr:rowOff>
    </xdr:from>
    <xdr:to>
      <xdr:col>5</xdr:col>
      <xdr:colOff>107950</xdr:colOff>
      <xdr:row>24</xdr:row>
      <xdr:rowOff>12700</xdr:rowOff>
    </xdr:to>
    <xdr:pic>
      <xdr:nvPicPr>
        <xdr:cNvPr id="26319" name="Picture 14" descr="PT_TAB1BII_1">
          <a:extLst>
            <a:ext uri="{FF2B5EF4-FFF2-40B4-BE49-F238E27FC236}">
              <a16:creationId xmlns:a16="http://schemas.microsoft.com/office/drawing/2014/main" id="{D9B6BCBA-78B1-46C9-AF90-34A3965DBF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56150" y="428625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24</xdr:row>
      <xdr:rowOff>0</xdr:rowOff>
    </xdr:from>
    <xdr:to>
      <xdr:col>2</xdr:col>
      <xdr:colOff>107950</xdr:colOff>
      <xdr:row>24</xdr:row>
      <xdr:rowOff>12700</xdr:rowOff>
    </xdr:to>
    <xdr:pic>
      <xdr:nvPicPr>
        <xdr:cNvPr id="26320" name="Picture 15" descr="PT_TAB1BII_1">
          <a:extLst>
            <a:ext uri="{FF2B5EF4-FFF2-40B4-BE49-F238E27FC236}">
              <a16:creationId xmlns:a16="http://schemas.microsoft.com/office/drawing/2014/main" id="{AC36B58A-B1E3-C573-A75D-53039FBCB1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6000" y="428625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24</xdr:row>
      <xdr:rowOff>0</xdr:rowOff>
    </xdr:from>
    <xdr:to>
      <xdr:col>5</xdr:col>
      <xdr:colOff>107950</xdr:colOff>
      <xdr:row>24</xdr:row>
      <xdr:rowOff>12700</xdr:rowOff>
    </xdr:to>
    <xdr:pic>
      <xdr:nvPicPr>
        <xdr:cNvPr id="26321" name="Picture 16" descr="PT_TAB1BII_1">
          <a:extLst>
            <a:ext uri="{FF2B5EF4-FFF2-40B4-BE49-F238E27FC236}">
              <a16:creationId xmlns:a16="http://schemas.microsoft.com/office/drawing/2014/main" id="{6BFADA43-0FF4-E021-A409-3594DFCFE3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56150" y="428625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7</xdr:row>
      <xdr:rowOff>0</xdr:rowOff>
    </xdr:from>
    <xdr:to>
      <xdr:col>0</xdr:col>
      <xdr:colOff>82550</xdr:colOff>
      <xdr:row>7</xdr:row>
      <xdr:rowOff>6350</xdr:rowOff>
    </xdr:to>
    <xdr:pic>
      <xdr:nvPicPr>
        <xdr:cNvPr id="28370" name="Picture 1" descr="PT_TAB1LIX_1">
          <a:extLst>
            <a:ext uri="{FF2B5EF4-FFF2-40B4-BE49-F238E27FC236}">
              <a16:creationId xmlns:a16="http://schemas.microsoft.com/office/drawing/2014/main" id="{415F6464-27C2-8297-F206-1C99E93320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57300"/>
          <a:ext cx="825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7</xdr:row>
      <xdr:rowOff>0</xdr:rowOff>
    </xdr:from>
    <xdr:to>
      <xdr:col>0</xdr:col>
      <xdr:colOff>101600</xdr:colOff>
      <xdr:row>7</xdr:row>
      <xdr:rowOff>6350</xdr:rowOff>
    </xdr:to>
    <xdr:pic>
      <xdr:nvPicPr>
        <xdr:cNvPr id="28371" name="Picture 2" descr="PT_TAB1BII_1">
          <a:extLst>
            <a:ext uri="{FF2B5EF4-FFF2-40B4-BE49-F238E27FC236}">
              <a16:creationId xmlns:a16="http://schemas.microsoft.com/office/drawing/2014/main" id="{0B92540E-CB45-9818-89C1-B42E7009FC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257300"/>
          <a:ext cx="10160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7</xdr:row>
      <xdr:rowOff>0</xdr:rowOff>
    </xdr:from>
    <xdr:to>
      <xdr:col>3</xdr:col>
      <xdr:colOff>101600</xdr:colOff>
      <xdr:row>7</xdr:row>
      <xdr:rowOff>6350</xdr:rowOff>
    </xdr:to>
    <xdr:pic>
      <xdr:nvPicPr>
        <xdr:cNvPr id="28372" name="Picture 3" descr="PT_TAB1BII_1">
          <a:extLst>
            <a:ext uri="{FF2B5EF4-FFF2-40B4-BE49-F238E27FC236}">
              <a16:creationId xmlns:a16="http://schemas.microsoft.com/office/drawing/2014/main" id="{B26B9AB7-9D0E-346C-0C99-9FF7E0E1D4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16150" y="1257300"/>
          <a:ext cx="10160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7</xdr:row>
      <xdr:rowOff>0</xdr:rowOff>
    </xdr:from>
    <xdr:to>
      <xdr:col>1</xdr:col>
      <xdr:colOff>107950</xdr:colOff>
      <xdr:row>7</xdr:row>
      <xdr:rowOff>6350</xdr:rowOff>
    </xdr:to>
    <xdr:pic>
      <xdr:nvPicPr>
        <xdr:cNvPr id="28373" name="Picture 4" descr="PT_TAB1BII_1">
          <a:extLst>
            <a:ext uri="{FF2B5EF4-FFF2-40B4-BE49-F238E27FC236}">
              <a16:creationId xmlns:a16="http://schemas.microsoft.com/office/drawing/2014/main" id="{28E58B83-8C3B-D643-B93D-6D71AEFA51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39800" y="12573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7</xdr:row>
      <xdr:rowOff>0</xdr:rowOff>
    </xdr:from>
    <xdr:to>
      <xdr:col>5</xdr:col>
      <xdr:colOff>107950</xdr:colOff>
      <xdr:row>7</xdr:row>
      <xdr:rowOff>6350</xdr:rowOff>
    </xdr:to>
    <xdr:pic>
      <xdr:nvPicPr>
        <xdr:cNvPr id="28374" name="Picture 5" descr="PT_TAB1BII_1">
          <a:extLst>
            <a:ext uri="{FF2B5EF4-FFF2-40B4-BE49-F238E27FC236}">
              <a16:creationId xmlns:a16="http://schemas.microsoft.com/office/drawing/2014/main" id="{74877819-87E7-92FF-3C4E-A2AC2660F2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70450" y="12573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xdr:row>
      <xdr:rowOff>0</xdr:rowOff>
    </xdr:from>
    <xdr:to>
      <xdr:col>5</xdr:col>
      <xdr:colOff>107950</xdr:colOff>
      <xdr:row>7</xdr:row>
      <xdr:rowOff>6350</xdr:rowOff>
    </xdr:to>
    <xdr:pic>
      <xdr:nvPicPr>
        <xdr:cNvPr id="28375" name="Picture 6" descr="PT_TAB1BII_1">
          <a:extLst>
            <a:ext uri="{FF2B5EF4-FFF2-40B4-BE49-F238E27FC236}">
              <a16:creationId xmlns:a16="http://schemas.microsoft.com/office/drawing/2014/main" id="{9FAB8CEE-1827-807C-8E79-478A494E1B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70450" y="12573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7</xdr:row>
      <xdr:rowOff>0</xdr:rowOff>
    </xdr:from>
    <xdr:to>
      <xdr:col>1</xdr:col>
      <xdr:colOff>107950</xdr:colOff>
      <xdr:row>7</xdr:row>
      <xdr:rowOff>6350</xdr:rowOff>
    </xdr:to>
    <xdr:pic>
      <xdr:nvPicPr>
        <xdr:cNvPr id="28376" name="Picture 7" descr="PT_TAB1BII_1">
          <a:extLst>
            <a:ext uri="{FF2B5EF4-FFF2-40B4-BE49-F238E27FC236}">
              <a16:creationId xmlns:a16="http://schemas.microsoft.com/office/drawing/2014/main" id="{5B4F1ABF-2C19-E085-2FD7-74424F7112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39800" y="12573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xdr:row>
      <xdr:rowOff>0</xdr:rowOff>
    </xdr:from>
    <xdr:to>
      <xdr:col>5</xdr:col>
      <xdr:colOff>107950</xdr:colOff>
      <xdr:row>7</xdr:row>
      <xdr:rowOff>6350</xdr:rowOff>
    </xdr:to>
    <xdr:pic>
      <xdr:nvPicPr>
        <xdr:cNvPr id="28377" name="Picture 8" descr="PT_TAB1BII_1">
          <a:extLst>
            <a:ext uri="{FF2B5EF4-FFF2-40B4-BE49-F238E27FC236}">
              <a16:creationId xmlns:a16="http://schemas.microsoft.com/office/drawing/2014/main" id="{369C1C95-8499-7AC0-7C3E-ABE348C7EA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70450" y="12573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25</xdr:row>
      <xdr:rowOff>0</xdr:rowOff>
    </xdr:from>
    <xdr:to>
      <xdr:col>0</xdr:col>
      <xdr:colOff>82550</xdr:colOff>
      <xdr:row>25</xdr:row>
      <xdr:rowOff>12700</xdr:rowOff>
    </xdr:to>
    <xdr:pic>
      <xdr:nvPicPr>
        <xdr:cNvPr id="28378" name="Picture 9" descr="PT_TAB1LIX_1">
          <a:extLst>
            <a:ext uri="{FF2B5EF4-FFF2-40B4-BE49-F238E27FC236}">
              <a16:creationId xmlns:a16="http://schemas.microsoft.com/office/drawing/2014/main" id="{8CF99F4E-DAD4-2780-5195-8961BA437B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381500"/>
          <a:ext cx="825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25</xdr:row>
      <xdr:rowOff>0</xdr:rowOff>
    </xdr:from>
    <xdr:to>
      <xdr:col>0</xdr:col>
      <xdr:colOff>101600</xdr:colOff>
      <xdr:row>25</xdr:row>
      <xdr:rowOff>12700</xdr:rowOff>
    </xdr:to>
    <xdr:pic>
      <xdr:nvPicPr>
        <xdr:cNvPr id="28379" name="Picture 10" descr="PT_TAB1BII_1">
          <a:extLst>
            <a:ext uri="{FF2B5EF4-FFF2-40B4-BE49-F238E27FC236}">
              <a16:creationId xmlns:a16="http://schemas.microsoft.com/office/drawing/2014/main" id="{696859D5-6C23-42BA-CDA0-F6E03C8615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381500"/>
          <a:ext cx="1016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25</xdr:row>
      <xdr:rowOff>0</xdr:rowOff>
    </xdr:from>
    <xdr:to>
      <xdr:col>3</xdr:col>
      <xdr:colOff>101600</xdr:colOff>
      <xdr:row>25</xdr:row>
      <xdr:rowOff>12700</xdr:rowOff>
    </xdr:to>
    <xdr:pic>
      <xdr:nvPicPr>
        <xdr:cNvPr id="28380" name="Picture 11" descr="PT_TAB1BII_1">
          <a:extLst>
            <a:ext uri="{FF2B5EF4-FFF2-40B4-BE49-F238E27FC236}">
              <a16:creationId xmlns:a16="http://schemas.microsoft.com/office/drawing/2014/main" id="{074D7DB6-EFBF-ED02-2887-1DA308B8C0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16150" y="4381500"/>
          <a:ext cx="1016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25</xdr:row>
      <xdr:rowOff>0</xdr:rowOff>
    </xdr:from>
    <xdr:to>
      <xdr:col>1</xdr:col>
      <xdr:colOff>107950</xdr:colOff>
      <xdr:row>25</xdr:row>
      <xdr:rowOff>12700</xdr:rowOff>
    </xdr:to>
    <xdr:pic>
      <xdr:nvPicPr>
        <xdr:cNvPr id="28381" name="Picture 12" descr="PT_TAB1BII_1">
          <a:extLst>
            <a:ext uri="{FF2B5EF4-FFF2-40B4-BE49-F238E27FC236}">
              <a16:creationId xmlns:a16="http://schemas.microsoft.com/office/drawing/2014/main" id="{7614E667-C6F1-6157-923D-C9DAB111A7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39800" y="43815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25</xdr:row>
      <xdr:rowOff>0</xdr:rowOff>
    </xdr:from>
    <xdr:to>
      <xdr:col>5</xdr:col>
      <xdr:colOff>107950</xdr:colOff>
      <xdr:row>25</xdr:row>
      <xdr:rowOff>12700</xdr:rowOff>
    </xdr:to>
    <xdr:pic>
      <xdr:nvPicPr>
        <xdr:cNvPr id="28382" name="Picture 13" descr="PT_TAB1BII_1">
          <a:extLst>
            <a:ext uri="{FF2B5EF4-FFF2-40B4-BE49-F238E27FC236}">
              <a16:creationId xmlns:a16="http://schemas.microsoft.com/office/drawing/2014/main" id="{026A5DA8-F599-DC44-E6F5-D53A660A61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70450" y="43815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25</xdr:row>
      <xdr:rowOff>0</xdr:rowOff>
    </xdr:from>
    <xdr:to>
      <xdr:col>5</xdr:col>
      <xdr:colOff>107950</xdr:colOff>
      <xdr:row>25</xdr:row>
      <xdr:rowOff>12700</xdr:rowOff>
    </xdr:to>
    <xdr:pic>
      <xdr:nvPicPr>
        <xdr:cNvPr id="28383" name="Picture 14" descr="PT_TAB1BII_1">
          <a:extLst>
            <a:ext uri="{FF2B5EF4-FFF2-40B4-BE49-F238E27FC236}">
              <a16:creationId xmlns:a16="http://schemas.microsoft.com/office/drawing/2014/main" id="{62D807CA-1A38-E644-8235-6829A31AD6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70450" y="43815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25</xdr:row>
      <xdr:rowOff>0</xdr:rowOff>
    </xdr:from>
    <xdr:to>
      <xdr:col>1</xdr:col>
      <xdr:colOff>107950</xdr:colOff>
      <xdr:row>25</xdr:row>
      <xdr:rowOff>12700</xdr:rowOff>
    </xdr:to>
    <xdr:pic>
      <xdr:nvPicPr>
        <xdr:cNvPr id="28384" name="Picture 15" descr="PT_TAB1BII_1">
          <a:extLst>
            <a:ext uri="{FF2B5EF4-FFF2-40B4-BE49-F238E27FC236}">
              <a16:creationId xmlns:a16="http://schemas.microsoft.com/office/drawing/2014/main" id="{60FB819C-56F8-F013-DF25-63030A887F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39800" y="43815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25</xdr:row>
      <xdr:rowOff>0</xdr:rowOff>
    </xdr:from>
    <xdr:to>
      <xdr:col>5</xdr:col>
      <xdr:colOff>107950</xdr:colOff>
      <xdr:row>25</xdr:row>
      <xdr:rowOff>12700</xdr:rowOff>
    </xdr:to>
    <xdr:pic>
      <xdr:nvPicPr>
        <xdr:cNvPr id="28385" name="Picture 16" descr="PT_TAB1BII_1">
          <a:extLst>
            <a:ext uri="{FF2B5EF4-FFF2-40B4-BE49-F238E27FC236}">
              <a16:creationId xmlns:a16="http://schemas.microsoft.com/office/drawing/2014/main" id="{C6AF1E47-9ABE-1F04-9E8E-807882DA90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70450" y="43815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16</xdr:col>
      <xdr:colOff>0</xdr:colOff>
      <xdr:row>7</xdr:row>
      <xdr:rowOff>0</xdr:rowOff>
    </xdr:from>
    <xdr:to>
      <xdr:col>25</xdr:col>
      <xdr:colOff>82550</xdr:colOff>
      <xdr:row>7</xdr:row>
      <xdr:rowOff>6350</xdr:rowOff>
    </xdr:to>
    <xdr:pic>
      <xdr:nvPicPr>
        <xdr:cNvPr id="28386" name="Picture 1" descr="PT_TAB1LIX_1">
          <a:extLst>
            <a:ext uri="{FF2B5EF4-FFF2-40B4-BE49-F238E27FC236}">
              <a16:creationId xmlns:a16="http://schemas.microsoft.com/office/drawing/2014/main" id="{29D2A2C1-0C04-3E7E-3642-56A4536564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90350" y="1257300"/>
          <a:ext cx="825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16</xdr:col>
      <xdr:colOff>0</xdr:colOff>
      <xdr:row>7</xdr:row>
      <xdr:rowOff>0</xdr:rowOff>
    </xdr:from>
    <xdr:to>
      <xdr:col>25</xdr:col>
      <xdr:colOff>101600</xdr:colOff>
      <xdr:row>7</xdr:row>
      <xdr:rowOff>6350</xdr:rowOff>
    </xdr:to>
    <xdr:pic>
      <xdr:nvPicPr>
        <xdr:cNvPr id="28387" name="Picture 2" descr="PT_TAB1BII_1">
          <a:extLst>
            <a:ext uri="{FF2B5EF4-FFF2-40B4-BE49-F238E27FC236}">
              <a16:creationId xmlns:a16="http://schemas.microsoft.com/office/drawing/2014/main" id="{7B62575F-8285-54F3-4F4B-F55DDC7FE1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690350" y="1257300"/>
          <a:ext cx="10160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0</xdr:colOff>
      <xdr:row>7</xdr:row>
      <xdr:rowOff>0</xdr:rowOff>
    </xdr:from>
    <xdr:to>
      <xdr:col>25</xdr:col>
      <xdr:colOff>107950</xdr:colOff>
      <xdr:row>7</xdr:row>
      <xdr:rowOff>6350</xdr:rowOff>
    </xdr:to>
    <xdr:pic>
      <xdr:nvPicPr>
        <xdr:cNvPr id="28388" name="Picture 3" descr="PT_TAB1BII_1">
          <a:extLst>
            <a:ext uri="{FF2B5EF4-FFF2-40B4-BE49-F238E27FC236}">
              <a16:creationId xmlns:a16="http://schemas.microsoft.com/office/drawing/2014/main" id="{57D458BF-8B16-5B9D-E957-15E120643A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73050" y="12573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0</xdr:colOff>
      <xdr:row>7</xdr:row>
      <xdr:rowOff>0</xdr:rowOff>
    </xdr:from>
    <xdr:to>
      <xdr:col>25</xdr:col>
      <xdr:colOff>107950</xdr:colOff>
      <xdr:row>7</xdr:row>
      <xdr:rowOff>6350</xdr:rowOff>
    </xdr:to>
    <xdr:pic>
      <xdr:nvPicPr>
        <xdr:cNvPr id="28389" name="Picture 4" descr="PT_TAB1BII_1">
          <a:extLst>
            <a:ext uri="{FF2B5EF4-FFF2-40B4-BE49-F238E27FC236}">
              <a16:creationId xmlns:a16="http://schemas.microsoft.com/office/drawing/2014/main" id="{F7A0C064-112B-50CE-4A68-483F7CC735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73050" y="12573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16</xdr:row>
      <xdr:rowOff>0</xdr:rowOff>
    </xdr:from>
    <xdr:to>
      <xdr:col>0</xdr:col>
      <xdr:colOff>82550</xdr:colOff>
      <xdr:row>16</xdr:row>
      <xdr:rowOff>6350</xdr:rowOff>
    </xdr:to>
    <xdr:pic>
      <xdr:nvPicPr>
        <xdr:cNvPr id="17219" name="Picture 1" descr="PT_TAB1LIX_1">
          <a:extLst>
            <a:ext uri="{FF2B5EF4-FFF2-40B4-BE49-F238E27FC236}">
              <a16:creationId xmlns:a16="http://schemas.microsoft.com/office/drawing/2014/main" id="{2D5A364C-DD20-71EC-939D-2ACD6719D5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11450"/>
          <a:ext cx="825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16</xdr:row>
      <xdr:rowOff>0</xdr:rowOff>
    </xdr:from>
    <xdr:to>
      <xdr:col>0</xdr:col>
      <xdr:colOff>107950</xdr:colOff>
      <xdr:row>16</xdr:row>
      <xdr:rowOff>6350</xdr:rowOff>
    </xdr:to>
    <xdr:pic>
      <xdr:nvPicPr>
        <xdr:cNvPr id="17220" name="Picture 2" descr="PT_TAB1BII_1">
          <a:extLst>
            <a:ext uri="{FF2B5EF4-FFF2-40B4-BE49-F238E27FC236}">
              <a16:creationId xmlns:a16="http://schemas.microsoft.com/office/drawing/2014/main" id="{B6F72C03-73FB-72DE-9BD8-D55DBE4B0B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71145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16</xdr:row>
      <xdr:rowOff>0</xdr:rowOff>
    </xdr:from>
    <xdr:to>
      <xdr:col>3</xdr:col>
      <xdr:colOff>107950</xdr:colOff>
      <xdr:row>16</xdr:row>
      <xdr:rowOff>6350</xdr:rowOff>
    </xdr:to>
    <xdr:pic>
      <xdr:nvPicPr>
        <xdr:cNvPr id="17221" name="Picture 3" descr="PT_TAB1BII_1">
          <a:extLst>
            <a:ext uri="{FF2B5EF4-FFF2-40B4-BE49-F238E27FC236}">
              <a16:creationId xmlns:a16="http://schemas.microsoft.com/office/drawing/2014/main" id="{57410C24-11F9-9279-D2C1-B728F3945A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73200" y="271145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xdr:row>
      <xdr:rowOff>0</xdr:rowOff>
    </xdr:from>
    <xdr:to>
      <xdr:col>1</xdr:col>
      <xdr:colOff>107950</xdr:colOff>
      <xdr:row>16</xdr:row>
      <xdr:rowOff>6350</xdr:rowOff>
    </xdr:to>
    <xdr:pic>
      <xdr:nvPicPr>
        <xdr:cNvPr id="17222" name="Picture 4" descr="PT_TAB1BII_1">
          <a:extLst>
            <a:ext uri="{FF2B5EF4-FFF2-40B4-BE49-F238E27FC236}">
              <a16:creationId xmlns:a16="http://schemas.microsoft.com/office/drawing/2014/main" id="{8682986D-69BC-E007-3FB7-6004D3705B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 y="271145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16</xdr:row>
      <xdr:rowOff>0</xdr:rowOff>
    </xdr:from>
    <xdr:to>
      <xdr:col>5</xdr:col>
      <xdr:colOff>107950</xdr:colOff>
      <xdr:row>16</xdr:row>
      <xdr:rowOff>6350</xdr:rowOff>
    </xdr:to>
    <xdr:pic>
      <xdr:nvPicPr>
        <xdr:cNvPr id="17223" name="Picture 5" descr="PT_TAB1BII_1">
          <a:extLst>
            <a:ext uri="{FF2B5EF4-FFF2-40B4-BE49-F238E27FC236}">
              <a16:creationId xmlns:a16="http://schemas.microsoft.com/office/drawing/2014/main" id="{87284CDB-B905-1A3B-E541-69FDA8EE66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79800" y="271145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16</xdr:row>
      <xdr:rowOff>0</xdr:rowOff>
    </xdr:from>
    <xdr:to>
      <xdr:col>5</xdr:col>
      <xdr:colOff>107950</xdr:colOff>
      <xdr:row>16</xdr:row>
      <xdr:rowOff>6350</xdr:rowOff>
    </xdr:to>
    <xdr:pic>
      <xdr:nvPicPr>
        <xdr:cNvPr id="17224" name="Picture 6" descr="PT_TAB1BII_1">
          <a:extLst>
            <a:ext uri="{FF2B5EF4-FFF2-40B4-BE49-F238E27FC236}">
              <a16:creationId xmlns:a16="http://schemas.microsoft.com/office/drawing/2014/main" id="{93D56B7C-4F0E-7180-FDED-9BC392D344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79800" y="271145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xdr:row>
      <xdr:rowOff>0</xdr:rowOff>
    </xdr:from>
    <xdr:to>
      <xdr:col>1</xdr:col>
      <xdr:colOff>107950</xdr:colOff>
      <xdr:row>16</xdr:row>
      <xdr:rowOff>6350</xdr:rowOff>
    </xdr:to>
    <xdr:pic>
      <xdr:nvPicPr>
        <xdr:cNvPr id="17225" name="Picture 8" descr="PT_TAB1BII_1">
          <a:extLst>
            <a:ext uri="{FF2B5EF4-FFF2-40B4-BE49-F238E27FC236}">
              <a16:creationId xmlns:a16="http://schemas.microsoft.com/office/drawing/2014/main" id="{551EA7FA-D25A-3584-5EE7-6177548F6A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 y="271145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16</xdr:row>
      <xdr:rowOff>0</xdr:rowOff>
    </xdr:from>
    <xdr:to>
      <xdr:col>5</xdr:col>
      <xdr:colOff>107950</xdr:colOff>
      <xdr:row>16</xdr:row>
      <xdr:rowOff>6350</xdr:rowOff>
    </xdr:to>
    <xdr:pic>
      <xdr:nvPicPr>
        <xdr:cNvPr id="17226" name="Picture 9" descr="PT_TAB1BII_1">
          <a:extLst>
            <a:ext uri="{FF2B5EF4-FFF2-40B4-BE49-F238E27FC236}">
              <a16:creationId xmlns:a16="http://schemas.microsoft.com/office/drawing/2014/main" id="{CEC7B106-C7D9-D66E-18F7-5536A612C2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79800" y="271145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52</xdr:row>
      <xdr:rowOff>0</xdr:rowOff>
    </xdr:from>
    <xdr:to>
      <xdr:col>0</xdr:col>
      <xdr:colOff>82550</xdr:colOff>
      <xdr:row>52</xdr:row>
      <xdr:rowOff>6350</xdr:rowOff>
    </xdr:to>
    <xdr:pic>
      <xdr:nvPicPr>
        <xdr:cNvPr id="17227" name="Picture 11" descr="PT_TAB1LIX_1">
          <a:extLst>
            <a:ext uri="{FF2B5EF4-FFF2-40B4-BE49-F238E27FC236}">
              <a16:creationId xmlns:a16="http://schemas.microsoft.com/office/drawing/2014/main" id="{8B0B5692-28A9-94D7-8889-EB4DC10F82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562850"/>
          <a:ext cx="825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52</xdr:row>
      <xdr:rowOff>0</xdr:rowOff>
    </xdr:from>
    <xdr:to>
      <xdr:col>0</xdr:col>
      <xdr:colOff>107950</xdr:colOff>
      <xdr:row>52</xdr:row>
      <xdr:rowOff>6350</xdr:rowOff>
    </xdr:to>
    <xdr:pic>
      <xdr:nvPicPr>
        <xdr:cNvPr id="17228" name="Picture 12" descr="PT_TAB1BII_1">
          <a:extLst>
            <a:ext uri="{FF2B5EF4-FFF2-40B4-BE49-F238E27FC236}">
              <a16:creationId xmlns:a16="http://schemas.microsoft.com/office/drawing/2014/main" id="{6C812FED-B758-DC32-6A96-2458D77F30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756285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52</xdr:row>
      <xdr:rowOff>0</xdr:rowOff>
    </xdr:from>
    <xdr:to>
      <xdr:col>3</xdr:col>
      <xdr:colOff>107950</xdr:colOff>
      <xdr:row>52</xdr:row>
      <xdr:rowOff>6350</xdr:rowOff>
    </xdr:to>
    <xdr:pic>
      <xdr:nvPicPr>
        <xdr:cNvPr id="17229" name="Picture 13" descr="PT_TAB1BII_1">
          <a:extLst>
            <a:ext uri="{FF2B5EF4-FFF2-40B4-BE49-F238E27FC236}">
              <a16:creationId xmlns:a16="http://schemas.microsoft.com/office/drawing/2014/main" id="{09FD186A-4F49-65D7-B742-F59C3C3428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73200" y="756285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52</xdr:row>
      <xdr:rowOff>0</xdr:rowOff>
    </xdr:from>
    <xdr:to>
      <xdr:col>1</xdr:col>
      <xdr:colOff>107950</xdr:colOff>
      <xdr:row>52</xdr:row>
      <xdr:rowOff>6350</xdr:rowOff>
    </xdr:to>
    <xdr:pic>
      <xdr:nvPicPr>
        <xdr:cNvPr id="17230" name="Picture 14" descr="PT_TAB1BII_1">
          <a:extLst>
            <a:ext uri="{FF2B5EF4-FFF2-40B4-BE49-F238E27FC236}">
              <a16:creationId xmlns:a16="http://schemas.microsoft.com/office/drawing/2014/main" id="{B4A322F8-EE40-FA24-5C87-7F82C9C61C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 y="756285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52</xdr:row>
      <xdr:rowOff>0</xdr:rowOff>
    </xdr:from>
    <xdr:to>
      <xdr:col>5</xdr:col>
      <xdr:colOff>107950</xdr:colOff>
      <xdr:row>52</xdr:row>
      <xdr:rowOff>6350</xdr:rowOff>
    </xdr:to>
    <xdr:pic>
      <xdr:nvPicPr>
        <xdr:cNvPr id="17231" name="Picture 15" descr="PT_TAB1BII_1">
          <a:extLst>
            <a:ext uri="{FF2B5EF4-FFF2-40B4-BE49-F238E27FC236}">
              <a16:creationId xmlns:a16="http://schemas.microsoft.com/office/drawing/2014/main" id="{C0EB6994-D786-F936-F740-ABD09949DD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79800" y="756285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52</xdr:row>
      <xdr:rowOff>0</xdr:rowOff>
    </xdr:from>
    <xdr:to>
      <xdr:col>5</xdr:col>
      <xdr:colOff>107950</xdr:colOff>
      <xdr:row>52</xdr:row>
      <xdr:rowOff>6350</xdr:rowOff>
    </xdr:to>
    <xdr:pic>
      <xdr:nvPicPr>
        <xdr:cNvPr id="17232" name="Picture 16" descr="PT_TAB1BII_1">
          <a:extLst>
            <a:ext uri="{FF2B5EF4-FFF2-40B4-BE49-F238E27FC236}">
              <a16:creationId xmlns:a16="http://schemas.microsoft.com/office/drawing/2014/main" id="{A02869C4-C023-FDE9-428C-8C84A6D344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79800" y="756285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52</xdr:row>
      <xdr:rowOff>0</xdr:rowOff>
    </xdr:from>
    <xdr:to>
      <xdr:col>1</xdr:col>
      <xdr:colOff>107950</xdr:colOff>
      <xdr:row>52</xdr:row>
      <xdr:rowOff>6350</xdr:rowOff>
    </xdr:to>
    <xdr:pic>
      <xdr:nvPicPr>
        <xdr:cNvPr id="17233" name="Picture 17" descr="PT_TAB1BII_1">
          <a:extLst>
            <a:ext uri="{FF2B5EF4-FFF2-40B4-BE49-F238E27FC236}">
              <a16:creationId xmlns:a16="http://schemas.microsoft.com/office/drawing/2014/main" id="{9A2AB319-B942-9C88-03F2-E244D510EB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 y="756285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52</xdr:row>
      <xdr:rowOff>0</xdr:rowOff>
    </xdr:from>
    <xdr:to>
      <xdr:col>5</xdr:col>
      <xdr:colOff>107950</xdr:colOff>
      <xdr:row>52</xdr:row>
      <xdr:rowOff>6350</xdr:rowOff>
    </xdr:to>
    <xdr:pic>
      <xdr:nvPicPr>
        <xdr:cNvPr id="17234" name="Picture 18" descr="PT_TAB1BII_1">
          <a:extLst>
            <a:ext uri="{FF2B5EF4-FFF2-40B4-BE49-F238E27FC236}">
              <a16:creationId xmlns:a16="http://schemas.microsoft.com/office/drawing/2014/main" id="{B422E7D9-CA4B-F1A5-BACF-3A9ED531CA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79800" y="756285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8</xdr:row>
      <xdr:rowOff>0</xdr:rowOff>
    </xdr:from>
    <xdr:to>
      <xdr:col>0</xdr:col>
      <xdr:colOff>82550</xdr:colOff>
      <xdr:row>8</xdr:row>
      <xdr:rowOff>6350</xdr:rowOff>
    </xdr:to>
    <xdr:pic>
      <xdr:nvPicPr>
        <xdr:cNvPr id="36989" name="Picture 1" descr="PT_TAB1LIX_1">
          <a:extLst>
            <a:ext uri="{FF2B5EF4-FFF2-40B4-BE49-F238E27FC236}">
              <a16:creationId xmlns:a16="http://schemas.microsoft.com/office/drawing/2014/main" id="{09D22006-3F74-4E6B-247D-BB41A16CBB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57300"/>
          <a:ext cx="825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8</xdr:row>
      <xdr:rowOff>0</xdr:rowOff>
    </xdr:from>
    <xdr:to>
      <xdr:col>0</xdr:col>
      <xdr:colOff>101600</xdr:colOff>
      <xdr:row>8</xdr:row>
      <xdr:rowOff>6350</xdr:rowOff>
    </xdr:to>
    <xdr:pic>
      <xdr:nvPicPr>
        <xdr:cNvPr id="36990" name="Picture 2" descr="PT_TAB1BII_1">
          <a:extLst>
            <a:ext uri="{FF2B5EF4-FFF2-40B4-BE49-F238E27FC236}">
              <a16:creationId xmlns:a16="http://schemas.microsoft.com/office/drawing/2014/main" id="{31EA9CD0-79C8-0105-FBF0-2A0F4C1655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257300"/>
          <a:ext cx="10160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xdr:row>
      <xdr:rowOff>0</xdr:rowOff>
    </xdr:from>
    <xdr:to>
      <xdr:col>3</xdr:col>
      <xdr:colOff>101600</xdr:colOff>
      <xdr:row>8</xdr:row>
      <xdr:rowOff>6350</xdr:rowOff>
    </xdr:to>
    <xdr:pic>
      <xdr:nvPicPr>
        <xdr:cNvPr id="36991" name="Picture 3" descr="PT_TAB1BII_1">
          <a:extLst>
            <a:ext uri="{FF2B5EF4-FFF2-40B4-BE49-F238E27FC236}">
              <a16:creationId xmlns:a16="http://schemas.microsoft.com/office/drawing/2014/main" id="{21938B7E-0CFA-E5D3-20E2-E682C5A262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05000" y="1257300"/>
          <a:ext cx="10160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8</xdr:row>
      <xdr:rowOff>0</xdr:rowOff>
    </xdr:from>
    <xdr:to>
      <xdr:col>1</xdr:col>
      <xdr:colOff>107950</xdr:colOff>
      <xdr:row>8</xdr:row>
      <xdr:rowOff>6350</xdr:rowOff>
    </xdr:to>
    <xdr:pic>
      <xdr:nvPicPr>
        <xdr:cNvPr id="36992" name="Picture 4" descr="PT_TAB1BII_1">
          <a:extLst>
            <a:ext uri="{FF2B5EF4-FFF2-40B4-BE49-F238E27FC236}">
              <a16:creationId xmlns:a16="http://schemas.microsoft.com/office/drawing/2014/main" id="{F5480894-1392-00A8-2552-2E505DEDD6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8500" y="12573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8</xdr:row>
      <xdr:rowOff>0</xdr:rowOff>
    </xdr:from>
    <xdr:to>
      <xdr:col>4</xdr:col>
      <xdr:colOff>107950</xdr:colOff>
      <xdr:row>8</xdr:row>
      <xdr:rowOff>6350</xdr:rowOff>
    </xdr:to>
    <xdr:pic>
      <xdr:nvPicPr>
        <xdr:cNvPr id="36993" name="Picture 5" descr="PT_TAB1BII_1">
          <a:extLst>
            <a:ext uri="{FF2B5EF4-FFF2-40B4-BE49-F238E27FC236}">
              <a16:creationId xmlns:a16="http://schemas.microsoft.com/office/drawing/2014/main" id="{65C29762-A856-A15D-A767-6BBAF9BED3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13150" y="12573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8</xdr:row>
      <xdr:rowOff>0</xdr:rowOff>
    </xdr:from>
    <xdr:to>
      <xdr:col>5</xdr:col>
      <xdr:colOff>107950</xdr:colOff>
      <xdr:row>8</xdr:row>
      <xdr:rowOff>6350</xdr:rowOff>
    </xdr:to>
    <xdr:pic>
      <xdr:nvPicPr>
        <xdr:cNvPr id="36994" name="Picture 6" descr="PT_TAB1BII_1">
          <a:extLst>
            <a:ext uri="{FF2B5EF4-FFF2-40B4-BE49-F238E27FC236}">
              <a16:creationId xmlns:a16="http://schemas.microsoft.com/office/drawing/2014/main" id="{36454350-DB0F-AB86-0AEF-F241DFD2DB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13150" y="12573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8</xdr:row>
      <xdr:rowOff>0</xdr:rowOff>
    </xdr:from>
    <xdr:to>
      <xdr:col>1</xdr:col>
      <xdr:colOff>107950</xdr:colOff>
      <xdr:row>8</xdr:row>
      <xdr:rowOff>6350</xdr:rowOff>
    </xdr:to>
    <xdr:pic>
      <xdr:nvPicPr>
        <xdr:cNvPr id="36995" name="Picture 7" descr="PT_TAB1BII_1">
          <a:extLst>
            <a:ext uri="{FF2B5EF4-FFF2-40B4-BE49-F238E27FC236}">
              <a16:creationId xmlns:a16="http://schemas.microsoft.com/office/drawing/2014/main" id="{3A4B8B1A-3BCE-E808-5A95-1ADA32DC87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8500" y="12573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8</xdr:row>
      <xdr:rowOff>0</xdr:rowOff>
    </xdr:from>
    <xdr:to>
      <xdr:col>5</xdr:col>
      <xdr:colOff>107950</xdr:colOff>
      <xdr:row>8</xdr:row>
      <xdr:rowOff>6350</xdr:rowOff>
    </xdr:to>
    <xdr:pic>
      <xdr:nvPicPr>
        <xdr:cNvPr id="36996" name="Picture 8" descr="PT_TAB1BII_1">
          <a:extLst>
            <a:ext uri="{FF2B5EF4-FFF2-40B4-BE49-F238E27FC236}">
              <a16:creationId xmlns:a16="http://schemas.microsoft.com/office/drawing/2014/main" id="{2D09EB35-6F70-87FB-1732-8C5B8D60BF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13150" y="12573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25</xdr:row>
      <xdr:rowOff>0</xdr:rowOff>
    </xdr:from>
    <xdr:to>
      <xdr:col>0</xdr:col>
      <xdr:colOff>82550</xdr:colOff>
      <xdr:row>25</xdr:row>
      <xdr:rowOff>12700</xdr:rowOff>
    </xdr:to>
    <xdr:pic>
      <xdr:nvPicPr>
        <xdr:cNvPr id="36997" name="Picture 9" descr="PT_TAB1LIX_1">
          <a:extLst>
            <a:ext uri="{FF2B5EF4-FFF2-40B4-BE49-F238E27FC236}">
              <a16:creationId xmlns:a16="http://schemas.microsoft.com/office/drawing/2014/main" id="{626BDAAD-FB26-846D-07FD-C7A18FBC37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216400"/>
          <a:ext cx="825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25</xdr:row>
      <xdr:rowOff>0</xdr:rowOff>
    </xdr:from>
    <xdr:to>
      <xdr:col>0</xdr:col>
      <xdr:colOff>101600</xdr:colOff>
      <xdr:row>25</xdr:row>
      <xdr:rowOff>12700</xdr:rowOff>
    </xdr:to>
    <xdr:pic>
      <xdr:nvPicPr>
        <xdr:cNvPr id="36998" name="Picture 10" descr="PT_TAB1BII_1">
          <a:extLst>
            <a:ext uri="{FF2B5EF4-FFF2-40B4-BE49-F238E27FC236}">
              <a16:creationId xmlns:a16="http://schemas.microsoft.com/office/drawing/2014/main" id="{8708148F-3C92-A350-D3EE-F0E8F8AE74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216400"/>
          <a:ext cx="1016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25</xdr:row>
      <xdr:rowOff>0</xdr:rowOff>
    </xdr:from>
    <xdr:to>
      <xdr:col>3</xdr:col>
      <xdr:colOff>101600</xdr:colOff>
      <xdr:row>25</xdr:row>
      <xdr:rowOff>12700</xdr:rowOff>
    </xdr:to>
    <xdr:pic>
      <xdr:nvPicPr>
        <xdr:cNvPr id="36999" name="Picture 11" descr="PT_TAB1BII_1">
          <a:extLst>
            <a:ext uri="{FF2B5EF4-FFF2-40B4-BE49-F238E27FC236}">
              <a16:creationId xmlns:a16="http://schemas.microsoft.com/office/drawing/2014/main" id="{6DFF4FDA-05A7-1BEE-7FD0-020C97B3CC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05000" y="4216400"/>
          <a:ext cx="1016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25</xdr:row>
      <xdr:rowOff>0</xdr:rowOff>
    </xdr:from>
    <xdr:to>
      <xdr:col>1</xdr:col>
      <xdr:colOff>107950</xdr:colOff>
      <xdr:row>25</xdr:row>
      <xdr:rowOff>12700</xdr:rowOff>
    </xdr:to>
    <xdr:pic>
      <xdr:nvPicPr>
        <xdr:cNvPr id="37000" name="Picture 12" descr="PT_TAB1BII_1">
          <a:extLst>
            <a:ext uri="{FF2B5EF4-FFF2-40B4-BE49-F238E27FC236}">
              <a16:creationId xmlns:a16="http://schemas.microsoft.com/office/drawing/2014/main" id="{C7C76564-13EF-8421-A0CD-7AE0C22F9B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8500" y="42164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25</xdr:row>
      <xdr:rowOff>0</xdr:rowOff>
    </xdr:from>
    <xdr:to>
      <xdr:col>4</xdr:col>
      <xdr:colOff>107950</xdr:colOff>
      <xdr:row>25</xdr:row>
      <xdr:rowOff>12700</xdr:rowOff>
    </xdr:to>
    <xdr:pic>
      <xdr:nvPicPr>
        <xdr:cNvPr id="37001" name="Picture 13" descr="PT_TAB1BII_1">
          <a:extLst>
            <a:ext uri="{FF2B5EF4-FFF2-40B4-BE49-F238E27FC236}">
              <a16:creationId xmlns:a16="http://schemas.microsoft.com/office/drawing/2014/main" id="{20EA83C7-A85D-70D3-0C06-554232C48A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13150" y="42164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25</xdr:row>
      <xdr:rowOff>0</xdr:rowOff>
    </xdr:from>
    <xdr:to>
      <xdr:col>5</xdr:col>
      <xdr:colOff>107950</xdr:colOff>
      <xdr:row>25</xdr:row>
      <xdr:rowOff>12700</xdr:rowOff>
    </xdr:to>
    <xdr:pic>
      <xdr:nvPicPr>
        <xdr:cNvPr id="37002" name="Picture 14" descr="PT_TAB1BII_1">
          <a:extLst>
            <a:ext uri="{FF2B5EF4-FFF2-40B4-BE49-F238E27FC236}">
              <a16:creationId xmlns:a16="http://schemas.microsoft.com/office/drawing/2014/main" id="{AB6E7C90-A6AF-FFD5-2982-2FE5942FFD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13150" y="42164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25</xdr:row>
      <xdr:rowOff>0</xdr:rowOff>
    </xdr:from>
    <xdr:to>
      <xdr:col>1</xdr:col>
      <xdr:colOff>107950</xdr:colOff>
      <xdr:row>25</xdr:row>
      <xdr:rowOff>12700</xdr:rowOff>
    </xdr:to>
    <xdr:pic>
      <xdr:nvPicPr>
        <xdr:cNvPr id="37003" name="Picture 15" descr="PT_TAB1BII_1">
          <a:extLst>
            <a:ext uri="{FF2B5EF4-FFF2-40B4-BE49-F238E27FC236}">
              <a16:creationId xmlns:a16="http://schemas.microsoft.com/office/drawing/2014/main" id="{5B7D879B-ECD1-071F-992A-8A5B4B7FA3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8500" y="42164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25</xdr:row>
      <xdr:rowOff>0</xdr:rowOff>
    </xdr:from>
    <xdr:to>
      <xdr:col>5</xdr:col>
      <xdr:colOff>107950</xdr:colOff>
      <xdr:row>25</xdr:row>
      <xdr:rowOff>12700</xdr:rowOff>
    </xdr:to>
    <xdr:pic>
      <xdr:nvPicPr>
        <xdr:cNvPr id="37004" name="Picture 16" descr="PT_TAB1BII_1">
          <a:extLst>
            <a:ext uri="{FF2B5EF4-FFF2-40B4-BE49-F238E27FC236}">
              <a16:creationId xmlns:a16="http://schemas.microsoft.com/office/drawing/2014/main" id="{6E803F76-972D-23B5-1AD0-8B9522A82B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13150" y="42164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8</xdr:row>
      <xdr:rowOff>0</xdr:rowOff>
    </xdr:from>
    <xdr:to>
      <xdr:col>34</xdr:col>
      <xdr:colOff>82550</xdr:colOff>
      <xdr:row>8</xdr:row>
      <xdr:rowOff>6350</xdr:rowOff>
    </xdr:to>
    <xdr:pic>
      <xdr:nvPicPr>
        <xdr:cNvPr id="37005" name="Picture 17" descr="PT_TAB1LIX_1">
          <a:extLst>
            <a:ext uri="{FF2B5EF4-FFF2-40B4-BE49-F238E27FC236}">
              <a16:creationId xmlns:a16="http://schemas.microsoft.com/office/drawing/2014/main" id="{2FA79B00-43E8-C8FB-592E-77C2688C9F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6650" y="1257300"/>
          <a:ext cx="825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8</xdr:row>
      <xdr:rowOff>0</xdr:rowOff>
    </xdr:from>
    <xdr:to>
      <xdr:col>34</xdr:col>
      <xdr:colOff>101600</xdr:colOff>
      <xdr:row>8</xdr:row>
      <xdr:rowOff>6350</xdr:rowOff>
    </xdr:to>
    <xdr:pic>
      <xdr:nvPicPr>
        <xdr:cNvPr id="37006" name="Picture 18" descr="PT_TAB1BII_1">
          <a:extLst>
            <a:ext uri="{FF2B5EF4-FFF2-40B4-BE49-F238E27FC236}">
              <a16:creationId xmlns:a16="http://schemas.microsoft.com/office/drawing/2014/main" id="{B856CF89-5C37-AB95-627F-F20A880EAE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026650" y="1257300"/>
          <a:ext cx="10160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17</xdr:col>
      <xdr:colOff>0</xdr:colOff>
      <xdr:row>8</xdr:row>
      <xdr:rowOff>0</xdr:rowOff>
    </xdr:from>
    <xdr:to>
      <xdr:col>34</xdr:col>
      <xdr:colOff>107950</xdr:colOff>
      <xdr:row>8</xdr:row>
      <xdr:rowOff>6350</xdr:rowOff>
    </xdr:to>
    <xdr:pic>
      <xdr:nvPicPr>
        <xdr:cNvPr id="37007" name="Picture 19" descr="PT_TAB1BII_1">
          <a:extLst>
            <a:ext uri="{FF2B5EF4-FFF2-40B4-BE49-F238E27FC236}">
              <a16:creationId xmlns:a16="http://schemas.microsoft.com/office/drawing/2014/main" id="{2B112BCC-2DEF-A894-5AAE-66F34C63B9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66650" y="12573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17</xdr:col>
      <xdr:colOff>0</xdr:colOff>
      <xdr:row>8</xdr:row>
      <xdr:rowOff>0</xdr:rowOff>
    </xdr:from>
    <xdr:to>
      <xdr:col>34</xdr:col>
      <xdr:colOff>107950</xdr:colOff>
      <xdr:row>8</xdr:row>
      <xdr:rowOff>6350</xdr:rowOff>
    </xdr:to>
    <xdr:pic>
      <xdr:nvPicPr>
        <xdr:cNvPr id="37008" name="Picture 20" descr="PT_TAB1BII_1">
          <a:extLst>
            <a:ext uri="{FF2B5EF4-FFF2-40B4-BE49-F238E27FC236}">
              <a16:creationId xmlns:a16="http://schemas.microsoft.com/office/drawing/2014/main" id="{254D6A5F-8443-54DF-6FF4-755B518CCF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66650" y="12573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25</xdr:col>
      <xdr:colOff>0</xdr:colOff>
      <xdr:row>8</xdr:row>
      <xdr:rowOff>0</xdr:rowOff>
    </xdr:from>
    <xdr:ext cx="82550" cy="6350"/>
    <xdr:pic>
      <xdr:nvPicPr>
        <xdr:cNvPr id="2" name="Picture 17" descr="PT_TAB1LIX_1">
          <a:extLst>
            <a:ext uri="{FF2B5EF4-FFF2-40B4-BE49-F238E27FC236}">
              <a16:creationId xmlns:a16="http://schemas.microsoft.com/office/drawing/2014/main" id="{EF049518-3900-4596-8F86-9140CB609A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6650" y="1257300"/>
          <a:ext cx="825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8</xdr:row>
      <xdr:rowOff>0</xdr:rowOff>
    </xdr:from>
    <xdr:ext cx="101600" cy="6350"/>
    <xdr:pic>
      <xdr:nvPicPr>
        <xdr:cNvPr id="3" name="Picture 18" descr="PT_TAB1BII_1">
          <a:extLst>
            <a:ext uri="{FF2B5EF4-FFF2-40B4-BE49-F238E27FC236}">
              <a16:creationId xmlns:a16="http://schemas.microsoft.com/office/drawing/2014/main" id="{C21236E1-0A2A-45DB-B015-E209C5888C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026650" y="1257300"/>
          <a:ext cx="10160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8</xdr:row>
      <xdr:rowOff>0</xdr:rowOff>
    </xdr:from>
    <xdr:ext cx="107950" cy="6350"/>
    <xdr:pic>
      <xdr:nvPicPr>
        <xdr:cNvPr id="4" name="Picture 19" descr="PT_TAB1BII_1">
          <a:extLst>
            <a:ext uri="{FF2B5EF4-FFF2-40B4-BE49-F238E27FC236}">
              <a16:creationId xmlns:a16="http://schemas.microsoft.com/office/drawing/2014/main" id="{1C4B1D1D-918D-4A2D-8BAA-DCA62ADEDB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66650" y="12573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8</xdr:row>
      <xdr:rowOff>0</xdr:rowOff>
    </xdr:from>
    <xdr:ext cx="107950" cy="6350"/>
    <xdr:pic>
      <xdr:nvPicPr>
        <xdr:cNvPr id="5" name="Picture 20" descr="PT_TAB1BII_1">
          <a:extLst>
            <a:ext uri="{FF2B5EF4-FFF2-40B4-BE49-F238E27FC236}">
              <a16:creationId xmlns:a16="http://schemas.microsoft.com/office/drawing/2014/main" id="{CD0D228A-B11E-4958-837F-559B5C57C4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66650" y="12573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8</xdr:row>
      <xdr:rowOff>0</xdr:rowOff>
    </xdr:from>
    <xdr:to>
      <xdr:col>0</xdr:col>
      <xdr:colOff>82550</xdr:colOff>
      <xdr:row>8</xdr:row>
      <xdr:rowOff>6350</xdr:rowOff>
    </xdr:to>
    <xdr:pic>
      <xdr:nvPicPr>
        <xdr:cNvPr id="2" name="Picture 1" descr="PT_TAB1LIX_1">
          <a:extLst>
            <a:ext uri="{FF2B5EF4-FFF2-40B4-BE49-F238E27FC236}">
              <a16:creationId xmlns:a16="http://schemas.microsoft.com/office/drawing/2014/main" id="{CE55617A-EF3B-4104-A2F9-CBBA07DDF8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57300"/>
          <a:ext cx="825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8</xdr:row>
      <xdr:rowOff>0</xdr:rowOff>
    </xdr:from>
    <xdr:to>
      <xdr:col>0</xdr:col>
      <xdr:colOff>101600</xdr:colOff>
      <xdr:row>8</xdr:row>
      <xdr:rowOff>6350</xdr:rowOff>
    </xdr:to>
    <xdr:pic>
      <xdr:nvPicPr>
        <xdr:cNvPr id="3" name="Picture 2" descr="PT_TAB1BII_1">
          <a:extLst>
            <a:ext uri="{FF2B5EF4-FFF2-40B4-BE49-F238E27FC236}">
              <a16:creationId xmlns:a16="http://schemas.microsoft.com/office/drawing/2014/main" id="{2933883D-1ED8-4B77-92F1-C6D8EE9530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257300"/>
          <a:ext cx="10160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xdr:row>
      <xdr:rowOff>0</xdr:rowOff>
    </xdr:from>
    <xdr:to>
      <xdr:col>3</xdr:col>
      <xdr:colOff>101600</xdr:colOff>
      <xdr:row>8</xdr:row>
      <xdr:rowOff>6350</xdr:rowOff>
    </xdr:to>
    <xdr:pic>
      <xdr:nvPicPr>
        <xdr:cNvPr id="4" name="Picture 3" descr="PT_TAB1BII_1">
          <a:extLst>
            <a:ext uri="{FF2B5EF4-FFF2-40B4-BE49-F238E27FC236}">
              <a16:creationId xmlns:a16="http://schemas.microsoft.com/office/drawing/2014/main" id="{6CF121BE-E38D-4FDA-A261-8E04F107D7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05000" y="1257300"/>
          <a:ext cx="10160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8</xdr:row>
      <xdr:rowOff>0</xdr:rowOff>
    </xdr:from>
    <xdr:to>
      <xdr:col>1</xdr:col>
      <xdr:colOff>107950</xdr:colOff>
      <xdr:row>8</xdr:row>
      <xdr:rowOff>6350</xdr:rowOff>
    </xdr:to>
    <xdr:pic>
      <xdr:nvPicPr>
        <xdr:cNvPr id="5" name="Picture 4" descr="PT_TAB1BII_1">
          <a:extLst>
            <a:ext uri="{FF2B5EF4-FFF2-40B4-BE49-F238E27FC236}">
              <a16:creationId xmlns:a16="http://schemas.microsoft.com/office/drawing/2014/main" id="{159498C8-BEF3-44E0-B24D-D84293C493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8500" y="12573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8</xdr:row>
      <xdr:rowOff>0</xdr:rowOff>
    </xdr:from>
    <xdr:to>
      <xdr:col>5</xdr:col>
      <xdr:colOff>107950</xdr:colOff>
      <xdr:row>8</xdr:row>
      <xdr:rowOff>6350</xdr:rowOff>
    </xdr:to>
    <xdr:pic>
      <xdr:nvPicPr>
        <xdr:cNvPr id="6" name="Picture 5" descr="PT_TAB1BII_1">
          <a:extLst>
            <a:ext uri="{FF2B5EF4-FFF2-40B4-BE49-F238E27FC236}">
              <a16:creationId xmlns:a16="http://schemas.microsoft.com/office/drawing/2014/main" id="{E088C35C-59AF-4A17-90A4-B9209856E8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13150" y="12573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8</xdr:row>
      <xdr:rowOff>0</xdr:rowOff>
    </xdr:from>
    <xdr:to>
      <xdr:col>5</xdr:col>
      <xdr:colOff>107950</xdr:colOff>
      <xdr:row>8</xdr:row>
      <xdr:rowOff>6350</xdr:rowOff>
    </xdr:to>
    <xdr:pic>
      <xdr:nvPicPr>
        <xdr:cNvPr id="7" name="Picture 6" descr="PT_TAB1BII_1">
          <a:extLst>
            <a:ext uri="{FF2B5EF4-FFF2-40B4-BE49-F238E27FC236}">
              <a16:creationId xmlns:a16="http://schemas.microsoft.com/office/drawing/2014/main" id="{FAE8FF37-649B-46B9-BC45-72A716C050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13150" y="12573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8</xdr:row>
      <xdr:rowOff>0</xdr:rowOff>
    </xdr:from>
    <xdr:to>
      <xdr:col>1</xdr:col>
      <xdr:colOff>107950</xdr:colOff>
      <xdr:row>8</xdr:row>
      <xdr:rowOff>6350</xdr:rowOff>
    </xdr:to>
    <xdr:pic>
      <xdr:nvPicPr>
        <xdr:cNvPr id="8" name="Picture 7" descr="PT_TAB1BII_1">
          <a:extLst>
            <a:ext uri="{FF2B5EF4-FFF2-40B4-BE49-F238E27FC236}">
              <a16:creationId xmlns:a16="http://schemas.microsoft.com/office/drawing/2014/main" id="{BB6BB316-4F10-45BF-A49E-3B9C685B0D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8500" y="12573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8</xdr:row>
      <xdr:rowOff>0</xdr:rowOff>
    </xdr:from>
    <xdr:to>
      <xdr:col>5</xdr:col>
      <xdr:colOff>107950</xdr:colOff>
      <xdr:row>8</xdr:row>
      <xdr:rowOff>6350</xdr:rowOff>
    </xdr:to>
    <xdr:pic>
      <xdr:nvPicPr>
        <xdr:cNvPr id="9" name="Picture 8" descr="PT_TAB1BII_1">
          <a:extLst>
            <a:ext uri="{FF2B5EF4-FFF2-40B4-BE49-F238E27FC236}">
              <a16:creationId xmlns:a16="http://schemas.microsoft.com/office/drawing/2014/main" id="{242AF104-8BAE-497D-946E-0CB0C3CB28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13150" y="12573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25</xdr:row>
      <xdr:rowOff>0</xdr:rowOff>
    </xdr:from>
    <xdr:to>
      <xdr:col>0</xdr:col>
      <xdr:colOff>82550</xdr:colOff>
      <xdr:row>25</xdr:row>
      <xdr:rowOff>12700</xdr:rowOff>
    </xdr:to>
    <xdr:pic>
      <xdr:nvPicPr>
        <xdr:cNvPr id="10" name="Picture 9" descr="PT_TAB1LIX_1">
          <a:extLst>
            <a:ext uri="{FF2B5EF4-FFF2-40B4-BE49-F238E27FC236}">
              <a16:creationId xmlns:a16="http://schemas.microsoft.com/office/drawing/2014/main" id="{0411D4BC-98BD-485E-8F69-59DCD7A790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216400"/>
          <a:ext cx="825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25</xdr:row>
      <xdr:rowOff>0</xdr:rowOff>
    </xdr:from>
    <xdr:to>
      <xdr:col>0</xdr:col>
      <xdr:colOff>101600</xdr:colOff>
      <xdr:row>25</xdr:row>
      <xdr:rowOff>12700</xdr:rowOff>
    </xdr:to>
    <xdr:pic>
      <xdr:nvPicPr>
        <xdr:cNvPr id="11" name="Picture 10" descr="PT_TAB1BII_1">
          <a:extLst>
            <a:ext uri="{FF2B5EF4-FFF2-40B4-BE49-F238E27FC236}">
              <a16:creationId xmlns:a16="http://schemas.microsoft.com/office/drawing/2014/main" id="{0B2FACFF-BBC2-46A1-8D87-8182F96CF0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216400"/>
          <a:ext cx="1016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25</xdr:row>
      <xdr:rowOff>0</xdr:rowOff>
    </xdr:from>
    <xdr:to>
      <xdr:col>3</xdr:col>
      <xdr:colOff>101600</xdr:colOff>
      <xdr:row>25</xdr:row>
      <xdr:rowOff>12700</xdr:rowOff>
    </xdr:to>
    <xdr:pic>
      <xdr:nvPicPr>
        <xdr:cNvPr id="12" name="Picture 11" descr="PT_TAB1BII_1">
          <a:extLst>
            <a:ext uri="{FF2B5EF4-FFF2-40B4-BE49-F238E27FC236}">
              <a16:creationId xmlns:a16="http://schemas.microsoft.com/office/drawing/2014/main" id="{FD2C9901-7619-4498-BAA5-65E9C3CC41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05000" y="4216400"/>
          <a:ext cx="1016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25</xdr:row>
      <xdr:rowOff>0</xdr:rowOff>
    </xdr:from>
    <xdr:to>
      <xdr:col>1</xdr:col>
      <xdr:colOff>107950</xdr:colOff>
      <xdr:row>25</xdr:row>
      <xdr:rowOff>12700</xdr:rowOff>
    </xdr:to>
    <xdr:pic>
      <xdr:nvPicPr>
        <xdr:cNvPr id="13" name="Picture 12" descr="PT_TAB1BII_1">
          <a:extLst>
            <a:ext uri="{FF2B5EF4-FFF2-40B4-BE49-F238E27FC236}">
              <a16:creationId xmlns:a16="http://schemas.microsoft.com/office/drawing/2014/main" id="{107A7D03-DD1F-4560-A7FA-63C7F9FFA8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8500" y="42164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25</xdr:row>
      <xdr:rowOff>0</xdr:rowOff>
    </xdr:from>
    <xdr:to>
      <xdr:col>5</xdr:col>
      <xdr:colOff>107950</xdr:colOff>
      <xdr:row>25</xdr:row>
      <xdr:rowOff>12700</xdr:rowOff>
    </xdr:to>
    <xdr:pic>
      <xdr:nvPicPr>
        <xdr:cNvPr id="14" name="Picture 13" descr="PT_TAB1BII_1">
          <a:extLst>
            <a:ext uri="{FF2B5EF4-FFF2-40B4-BE49-F238E27FC236}">
              <a16:creationId xmlns:a16="http://schemas.microsoft.com/office/drawing/2014/main" id="{5F117C39-F6E1-4A7C-864E-76A022B92F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13150" y="42164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25</xdr:row>
      <xdr:rowOff>0</xdr:rowOff>
    </xdr:from>
    <xdr:to>
      <xdr:col>5</xdr:col>
      <xdr:colOff>107950</xdr:colOff>
      <xdr:row>25</xdr:row>
      <xdr:rowOff>12700</xdr:rowOff>
    </xdr:to>
    <xdr:pic>
      <xdr:nvPicPr>
        <xdr:cNvPr id="15" name="Picture 14" descr="PT_TAB1BII_1">
          <a:extLst>
            <a:ext uri="{FF2B5EF4-FFF2-40B4-BE49-F238E27FC236}">
              <a16:creationId xmlns:a16="http://schemas.microsoft.com/office/drawing/2014/main" id="{F280E4F2-41A4-4FE6-9E60-6CD4917AF0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13150" y="42164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25</xdr:row>
      <xdr:rowOff>0</xdr:rowOff>
    </xdr:from>
    <xdr:to>
      <xdr:col>1</xdr:col>
      <xdr:colOff>107950</xdr:colOff>
      <xdr:row>25</xdr:row>
      <xdr:rowOff>12700</xdr:rowOff>
    </xdr:to>
    <xdr:pic>
      <xdr:nvPicPr>
        <xdr:cNvPr id="16" name="Picture 15" descr="PT_TAB1BII_1">
          <a:extLst>
            <a:ext uri="{FF2B5EF4-FFF2-40B4-BE49-F238E27FC236}">
              <a16:creationId xmlns:a16="http://schemas.microsoft.com/office/drawing/2014/main" id="{B94CCFC2-F064-49B2-9B1A-F111228A71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8500" y="42164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25</xdr:row>
      <xdr:rowOff>0</xdr:rowOff>
    </xdr:from>
    <xdr:to>
      <xdr:col>5</xdr:col>
      <xdr:colOff>107950</xdr:colOff>
      <xdr:row>25</xdr:row>
      <xdr:rowOff>12700</xdr:rowOff>
    </xdr:to>
    <xdr:pic>
      <xdr:nvPicPr>
        <xdr:cNvPr id="17" name="Picture 16" descr="PT_TAB1BII_1">
          <a:extLst>
            <a:ext uri="{FF2B5EF4-FFF2-40B4-BE49-F238E27FC236}">
              <a16:creationId xmlns:a16="http://schemas.microsoft.com/office/drawing/2014/main" id="{E846B5C4-FE72-49C7-912F-02FD7A273E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13150" y="42164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8</xdr:row>
      <xdr:rowOff>0</xdr:rowOff>
    </xdr:from>
    <xdr:to>
      <xdr:col>35</xdr:col>
      <xdr:colOff>69850</xdr:colOff>
      <xdr:row>8</xdr:row>
      <xdr:rowOff>6350</xdr:rowOff>
    </xdr:to>
    <xdr:pic>
      <xdr:nvPicPr>
        <xdr:cNvPr id="18" name="Picture 17" descr="PT_TAB1LIX_1">
          <a:extLst>
            <a:ext uri="{FF2B5EF4-FFF2-40B4-BE49-F238E27FC236}">
              <a16:creationId xmlns:a16="http://schemas.microsoft.com/office/drawing/2014/main" id="{BDC97CDA-4009-4E47-BAC4-5E7A8B1214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6650" y="1257300"/>
          <a:ext cx="825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8</xdr:row>
      <xdr:rowOff>0</xdr:rowOff>
    </xdr:from>
    <xdr:to>
      <xdr:col>35</xdr:col>
      <xdr:colOff>88900</xdr:colOff>
      <xdr:row>8</xdr:row>
      <xdr:rowOff>6350</xdr:rowOff>
    </xdr:to>
    <xdr:pic>
      <xdr:nvPicPr>
        <xdr:cNvPr id="19" name="Picture 18" descr="PT_TAB1BII_1">
          <a:extLst>
            <a:ext uri="{FF2B5EF4-FFF2-40B4-BE49-F238E27FC236}">
              <a16:creationId xmlns:a16="http://schemas.microsoft.com/office/drawing/2014/main" id="{8553623B-8B9C-423E-9835-E55FD73CEC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026650" y="1257300"/>
          <a:ext cx="10160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17</xdr:col>
      <xdr:colOff>0</xdr:colOff>
      <xdr:row>8</xdr:row>
      <xdr:rowOff>0</xdr:rowOff>
    </xdr:from>
    <xdr:to>
      <xdr:col>35</xdr:col>
      <xdr:colOff>95250</xdr:colOff>
      <xdr:row>8</xdr:row>
      <xdr:rowOff>6350</xdr:rowOff>
    </xdr:to>
    <xdr:pic>
      <xdr:nvPicPr>
        <xdr:cNvPr id="20" name="Picture 19" descr="PT_TAB1BII_1">
          <a:extLst>
            <a:ext uri="{FF2B5EF4-FFF2-40B4-BE49-F238E27FC236}">
              <a16:creationId xmlns:a16="http://schemas.microsoft.com/office/drawing/2014/main" id="{3276602D-F2FB-49D3-972A-50ABCD8BAB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66650" y="12573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17</xdr:col>
      <xdr:colOff>0</xdr:colOff>
      <xdr:row>8</xdr:row>
      <xdr:rowOff>0</xdr:rowOff>
    </xdr:from>
    <xdr:to>
      <xdr:col>35</xdr:col>
      <xdr:colOff>95250</xdr:colOff>
      <xdr:row>8</xdr:row>
      <xdr:rowOff>6350</xdr:rowOff>
    </xdr:to>
    <xdr:pic>
      <xdr:nvPicPr>
        <xdr:cNvPr id="21" name="Picture 20" descr="PT_TAB1BII_1">
          <a:extLst>
            <a:ext uri="{FF2B5EF4-FFF2-40B4-BE49-F238E27FC236}">
              <a16:creationId xmlns:a16="http://schemas.microsoft.com/office/drawing/2014/main" id="{C6B20796-2623-4757-8289-78A6B39BF5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66650" y="12573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25</xdr:col>
      <xdr:colOff>0</xdr:colOff>
      <xdr:row>8</xdr:row>
      <xdr:rowOff>0</xdr:rowOff>
    </xdr:from>
    <xdr:ext cx="82550" cy="6350"/>
    <xdr:pic>
      <xdr:nvPicPr>
        <xdr:cNvPr id="22" name="Picture 17" descr="PT_TAB1LIX_1">
          <a:extLst>
            <a:ext uri="{FF2B5EF4-FFF2-40B4-BE49-F238E27FC236}">
              <a16:creationId xmlns:a16="http://schemas.microsoft.com/office/drawing/2014/main" id="{EBDDED8A-D197-4697-B591-A1C20FE34A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589500" y="1257300"/>
          <a:ext cx="825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8</xdr:row>
      <xdr:rowOff>0</xdr:rowOff>
    </xdr:from>
    <xdr:ext cx="101600" cy="6350"/>
    <xdr:pic>
      <xdr:nvPicPr>
        <xdr:cNvPr id="23" name="Picture 18" descr="PT_TAB1BII_1">
          <a:extLst>
            <a:ext uri="{FF2B5EF4-FFF2-40B4-BE49-F238E27FC236}">
              <a16:creationId xmlns:a16="http://schemas.microsoft.com/office/drawing/2014/main" id="{1EE3FFE5-5274-4933-9954-8FFD1E2BFF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589500" y="1257300"/>
          <a:ext cx="10160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8</xdr:row>
      <xdr:rowOff>0</xdr:rowOff>
    </xdr:from>
    <xdr:ext cx="107950" cy="6350"/>
    <xdr:pic>
      <xdr:nvPicPr>
        <xdr:cNvPr id="24" name="Picture 19" descr="PT_TAB1BII_1">
          <a:extLst>
            <a:ext uri="{FF2B5EF4-FFF2-40B4-BE49-F238E27FC236}">
              <a16:creationId xmlns:a16="http://schemas.microsoft.com/office/drawing/2014/main" id="{278EB706-0254-4973-96F9-692F7CAFB1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900900" y="12573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8</xdr:row>
      <xdr:rowOff>0</xdr:rowOff>
    </xdr:from>
    <xdr:ext cx="107950" cy="6350"/>
    <xdr:pic>
      <xdr:nvPicPr>
        <xdr:cNvPr id="25" name="Picture 20" descr="PT_TAB1BII_1">
          <a:extLst>
            <a:ext uri="{FF2B5EF4-FFF2-40B4-BE49-F238E27FC236}">
              <a16:creationId xmlns:a16="http://schemas.microsoft.com/office/drawing/2014/main" id="{C24846F1-C746-4259-A4EF-95BBE6B6D1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900900" y="12573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8</xdr:row>
      <xdr:rowOff>0</xdr:rowOff>
    </xdr:from>
    <xdr:to>
      <xdr:col>0</xdr:col>
      <xdr:colOff>82550</xdr:colOff>
      <xdr:row>8</xdr:row>
      <xdr:rowOff>6350</xdr:rowOff>
    </xdr:to>
    <xdr:pic>
      <xdr:nvPicPr>
        <xdr:cNvPr id="2" name="Picture 1" descr="PT_TAB1LIX_1">
          <a:extLst>
            <a:ext uri="{FF2B5EF4-FFF2-40B4-BE49-F238E27FC236}">
              <a16:creationId xmlns:a16="http://schemas.microsoft.com/office/drawing/2014/main" id="{E4B8F43A-2B2E-423D-8278-92150C638F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57300"/>
          <a:ext cx="825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8</xdr:row>
      <xdr:rowOff>0</xdr:rowOff>
    </xdr:from>
    <xdr:to>
      <xdr:col>0</xdr:col>
      <xdr:colOff>101600</xdr:colOff>
      <xdr:row>8</xdr:row>
      <xdr:rowOff>6350</xdr:rowOff>
    </xdr:to>
    <xdr:pic>
      <xdr:nvPicPr>
        <xdr:cNvPr id="3" name="Picture 2" descr="PT_TAB1BII_1">
          <a:extLst>
            <a:ext uri="{FF2B5EF4-FFF2-40B4-BE49-F238E27FC236}">
              <a16:creationId xmlns:a16="http://schemas.microsoft.com/office/drawing/2014/main" id="{F946460B-E5EB-4E73-B69A-162F3EA306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257300"/>
          <a:ext cx="10160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xdr:row>
      <xdr:rowOff>0</xdr:rowOff>
    </xdr:from>
    <xdr:to>
      <xdr:col>3</xdr:col>
      <xdr:colOff>101600</xdr:colOff>
      <xdr:row>8</xdr:row>
      <xdr:rowOff>6350</xdr:rowOff>
    </xdr:to>
    <xdr:pic>
      <xdr:nvPicPr>
        <xdr:cNvPr id="4" name="Picture 3" descr="PT_TAB1BII_1">
          <a:extLst>
            <a:ext uri="{FF2B5EF4-FFF2-40B4-BE49-F238E27FC236}">
              <a16:creationId xmlns:a16="http://schemas.microsoft.com/office/drawing/2014/main" id="{E3C1D929-870F-4E05-B32E-5000BC26DF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05000" y="1257300"/>
          <a:ext cx="10160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8</xdr:row>
      <xdr:rowOff>0</xdr:rowOff>
    </xdr:from>
    <xdr:to>
      <xdr:col>1</xdr:col>
      <xdr:colOff>107950</xdr:colOff>
      <xdr:row>8</xdr:row>
      <xdr:rowOff>6350</xdr:rowOff>
    </xdr:to>
    <xdr:pic>
      <xdr:nvPicPr>
        <xdr:cNvPr id="5" name="Picture 4" descr="PT_TAB1BII_1">
          <a:extLst>
            <a:ext uri="{FF2B5EF4-FFF2-40B4-BE49-F238E27FC236}">
              <a16:creationId xmlns:a16="http://schemas.microsoft.com/office/drawing/2014/main" id="{6A213F67-9A39-4EE4-8D1A-420A345221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8500" y="12573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8</xdr:row>
      <xdr:rowOff>0</xdr:rowOff>
    </xdr:from>
    <xdr:to>
      <xdr:col>5</xdr:col>
      <xdr:colOff>107950</xdr:colOff>
      <xdr:row>8</xdr:row>
      <xdr:rowOff>6350</xdr:rowOff>
    </xdr:to>
    <xdr:pic>
      <xdr:nvPicPr>
        <xdr:cNvPr id="6" name="Picture 5" descr="PT_TAB1BII_1">
          <a:extLst>
            <a:ext uri="{FF2B5EF4-FFF2-40B4-BE49-F238E27FC236}">
              <a16:creationId xmlns:a16="http://schemas.microsoft.com/office/drawing/2014/main" id="{CF8E2157-5B35-4266-82F2-C77B1725C9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13150" y="12573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8</xdr:row>
      <xdr:rowOff>0</xdr:rowOff>
    </xdr:from>
    <xdr:to>
      <xdr:col>5</xdr:col>
      <xdr:colOff>107950</xdr:colOff>
      <xdr:row>8</xdr:row>
      <xdr:rowOff>6350</xdr:rowOff>
    </xdr:to>
    <xdr:pic>
      <xdr:nvPicPr>
        <xdr:cNvPr id="7" name="Picture 6" descr="PT_TAB1BII_1">
          <a:extLst>
            <a:ext uri="{FF2B5EF4-FFF2-40B4-BE49-F238E27FC236}">
              <a16:creationId xmlns:a16="http://schemas.microsoft.com/office/drawing/2014/main" id="{B954231F-824B-4BE6-BB5B-6E58C3E3D0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13150" y="12573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8</xdr:row>
      <xdr:rowOff>0</xdr:rowOff>
    </xdr:from>
    <xdr:to>
      <xdr:col>1</xdr:col>
      <xdr:colOff>107950</xdr:colOff>
      <xdr:row>8</xdr:row>
      <xdr:rowOff>6350</xdr:rowOff>
    </xdr:to>
    <xdr:pic>
      <xdr:nvPicPr>
        <xdr:cNvPr id="8" name="Picture 7" descr="PT_TAB1BII_1">
          <a:extLst>
            <a:ext uri="{FF2B5EF4-FFF2-40B4-BE49-F238E27FC236}">
              <a16:creationId xmlns:a16="http://schemas.microsoft.com/office/drawing/2014/main" id="{68103F52-CF5F-4E02-8CE3-6B9864A289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8500" y="12573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8</xdr:row>
      <xdr:rowOff>0</xdr:rowOff>
    </xdr:from>
    <xdr:to>
      <xdr:col>5</xdr:col>
      <xdr:colOff>107950</xdr:colOff>
      <xdr:row>8</xdr:row>
      <xdr:rowOff>6350</xdr:rowOff>
    </xdr:to>
    <xdr:pic>
      <xdr:nvPicPr>
        <xdr:cNvPr id="9" name="Picture 8" descr="PT_TAB1BII_1">
          <a:extLst>
            <a:ext uri="{FF2B5EF4-FFF2-40B4-BE49-F238E27FC236}">
              <a16:creationId xmlns:a16="http://schemas.microsoft.com/office/drawing/2014/main" id="{A2C3BA96-DD4A-417A-A2C3-34643E666A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13150" y="12573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25</xdr:row>
      <xdr:rowOff>0</xdr:rowOff>
    </xdr:from>
    <xdr:to>
      <xdr:col>0</xdr:col>
      <xdr:colOff>82550</xdr:colOff>
      <xdr:row>25</xdr:row>
      <xdr:rowOff>12700</xdr:rowOff>
    </xdr:to>
    <xdr:pic>
      <xdr:nvPicPr>
        <xdr:cNvPr id="10" name="Picture 9" descr="PT_TAB1LIX_1">
          <a:extLst>
            <a:ext uri="{FF2B5EF4-FFF2-40B4-BE49-F238E27FC236}">
              <a16:creationId xmlns:a16="http://schemas.microsoft.com/office/drawing/2014/main" id="{291D4CAD-B07A-4D79-9E9E-E9CC707649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216400"/>
          <a:ext cx="825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25</xdr:row>
      <xdr:rowOff>0</xdr:rowOff>
    </xdr:from>
    <xdr:to>
      <xdr:col>0</xdr:col>
      <xdr:colOff>101600</xdr:colOff>
      <xdr:row>25</xdr:row>
      <xdr:rowOff>12700</xdr:rowOff>
    </xdr:to>
    <xdr:pic>
      <xdr:nvPicPr>
        <xdr:cNvPr id="11" name="Picture 10" descr="PT_TAB1BII_1">
          <a:extLst>
            <a:ext uri="{FF2B5EF4-FFF2-40B4-BE49-F238E27FC236}">
              <a16:creationId xmlns:a16="http://schemas.microsoft.com/office/drawing/2014/main" id="{5F78828C-E058-4F2B-837C-9A86E5353E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216400"/>
          <a:ext cx="1016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25</xdr:row>
      <xdr:rowOff>0</xdr:rowOff>
    </xdr:from>
    <xdr:to>
      <xdr:col>3</xdr:col>
      <xdr:colOff>101600</xdr:colOff>
      <xdr:row>25</xdr:row>
      <xdr:rowOff>12700</xdr:rowOff>
    </xdr:to>
    <xdr:pic>
      <xdr:nvPicPr>
        <xdr:cNvPr id="12" name="Picture 11" descr="PT_TAB1BII_1">
          <a:extLst>
            <a:ext uri="{FF2B5EF4-FFF2-40B4-BE49-F238E27FC236}">
              <a16:creationId xmlns:a16="http://schemas.microsoft.com/office/drawing/2014/main" id="{186428F3-DF0F-44BB-8727-862B834F18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05000" y="4216400"/>
          <a:ext cx="1016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25</xdr:row>
      <xdr:rowOff>0</xdr:rowOff>
    </xdr:from>
    <xdr:to>
      <xdr:col>1</xdr:col>
      <xdr:colOff>107950</xdr:colOff>
      <xdr:row>25</xdr:row>
      <xdr:rowOff>12700</xdr:rowOff>
    </xdr:to>
    <xdr:pic>
      <xdr:nvPicPr>
        <xdr:cNvPr id="13" name="Picture 12" descr="PT_TAB1BII_1">
          <a:extLst>
            <a:ext uri="{FF2B5EF4-FFF2-40B4-BE49-F238E27FC236}">
              <a16:creationId xmlns:a16="http://schemas.microsoft.com/office/drawing/2014/main" id="{B7EC8320-59AA-4BBF-B6DC-DA757BDD93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8500" y="42164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25</xdr:row>
      <xdr:rowOff>0</xdr:rowOff>
    </xdr:from>
    <xdr:to>
      <xdr:col>5</xdr:col>
      <xdr:colOff>107950</xdr:colOff>
      <xdr:row>25</xdr:row>
      <xdr:rowOff>12700</xdr:rowOff>
    </xdr:to>
    <xdr:pic>
      <xdr:nvPicPr>
        <xdr:cNvPr id="14" name="Picture 13" descr="PT_TAB1BII_1">
          <a:extLst>
            <a:ext uri="{FF2B5EF4-FFF2-40B4-BE49-F238E27FC236}">
              <a16:creationId xmlns:a16="http://schemas.microsoft.com/office/drawing/2014/main" id="{77804CEA-8FCA-4005-A7BF-030A294102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13150" y="42164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25</xdr:row>
      <xdr:rowOff>0</xdr:rowOff>
    </xdr:from>
    <xdr:to>
      <xdr:col>5</xdr:col>
      <xdr:colOff>107950</xdr:colOff>
      <xdr:row>25</xdr:row>
      <xdr:rowOff>12700</xdr:rowOff>
    </xdr:to>
    <xdr:pic>
      <xdr:nvPicPr>
        <xdr:cNvPr id="15" name="Picture 14" descr="PT_TAB1BII_1">
          <a:extLst>
            <a:ext uri="{FF2B5EF4-FFF2-40B4-BE49-F238E27FC236}">
              <a16:creationId xmlns:a16="http://schemas.microsoft.com/office/drawing/2014/main" id="{AF0BCDC2-2DF0-482F-8B4B-D2B7B61143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13150" y="42164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25</xdr:row>
      <xdr:rowOff>0</xdr:rowOff>
    </xdr:from>
    <xdr:to>
      <xdr:col>1</xdr:col>
      <xdr:colOff>107950</xdr:colOff>
      <xdr:row>25</xdr:row>
      <xdr:rowOff>12700</xdr:rowOff>
    </xdr:to>
    <xdr:pic>
      <xdr:nvPicPr>
        <xdr:cNvPr id="16" name="Picture 15" descr="PT_TAB1BII_1">
          <a:extLst>
            <a:ext uri="{FF2B5EF4-FFF2-40B4-BE49-F238E27FC236}">
              <a16:creationId xmlns:a16="http://schemas.microsoft.com/office/drawing/2014/main" id="{87FC10B1-8573-4A57-93FD-576A7705E5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8500" y="42164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25</xdr:row>
      <xdr:rowOff>0</xdr:rowOff>
    </xdr:from>
    <xdr:to>
      <xdr:col>5</xdr:col>
      <xdr:colOff>107950</xdr:colOff>
      <xdr:row>25</xdr:row>
      <xdr:rowOff>12700</xdr:rowOff>
    </xdr:to>
    <xdr:pic>
      <xdr:nvPicPr>
        <xdr:cNvPr id="17" name="Picture 16" descr="PT_TAB1BII_1">
          <a:extLst>
            <a:ext uri="{FF2B5EF4-FFF2-40B4-BE49-F238E27FC236}">
              <a16:creationId xmlns:a16="http://schemas.microsoft.com/office/drawing/2014/main" id="{128665F0-DB39-4060-92F5-8D14D5DF22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13150" y="42164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8</xdr:row>
      <xdr:rowOff>0</xdr:rowOff>
    </xdr:from>
    <xdr:to>
      <xdr:col>15</xdr:col>
      <xdr:colOff>82550</xdr:colOff>
      <xdr:row>8</xdr:row>
      <xdr:rowOff>6350</xdr:rowOff>
    </xdr:to>
    <xdr:pic>
      <xdr:nvPicPr>
        <xdr:cNvPr id="18" name="Picture 17" descr="PT_TAB1LIX_1">
          <a:extLst>
            <a:ext uri="{FF2B5EF4-FFF2-40B4-BE49-F238E27FC236}">
              <a16:creationId xmlns:a16="http://schemas.microsoft.com/office/drawing/2014/main" id="{A00F7FFF-61B8-47EF-A4F5-45EA0DD35C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6650" y="1257300"/>
          <a:ext cx="825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8</xdr:row>
      <xdr:rowOff>0</xdr:rowOff>
    </xdr:from>
    <xdr:to>
      <xdr:col>15</xdr:col>
      <xdr:colOff>101600</xdr:colOff>
      <xdr:row>8</xdr:row>
      <xdr:rowOff>6350</xdr:rowOff>
    </xdr:to>
    <xdr:pic>
      <xdr:nvPicPr>
        <xdr:cNvPr id="19" name="Picture 18" descr="PT_TAB1BII_1">
          <a:extLst>
            <a:ext uri="{FF2B5EF4-FFF2-40B4-BE49-F238E27FC236}">
              <a16:creationId xmlns:a16="http://schemas.microsoft.com/office/drawing/2014/main" id="{BF65ACB6-18A2-488F-B470-666AA0DEB6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026650" y="1257300"/>
          <a:ext cx="10160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17</xdr:col>
      <xdr:colOff>0</xdr:colOff>
      <xdr:row>8</xdr:row>
      <xdr:rowOff>0</xdr:rowOff>
    </xdr:from>
    <xdr:to>
      <xdr:col>17</xdr:col>
      <xdr:colOff>107950</xdr:colOff>
      <xdr:row>8</xdr:row>
      <xdr:rowOff>6350</xdr:rowOff>
    </xdr:to>
    <xdr:pic>
      <xdr:nvPicPr>
        <xdr:cNvPr id="20" name="Picture 19" descr="PT_TAB1BII_1">
          <a:extLst>
            <a:ext uri="{FF2B5EF4-FFF2-40B4-BE49-F238E27FC236}">
              <a16:creationId xmlns:a16="http://schemas.microsoft.com/office/drawing/2014/main" id="{B44DBB0E-29B1-4188-B5F4-A9C97BF8BD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66650" y="12573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17</xdr:col>
      <xdr:colOff>0</xdr:colOff>
      <xdr:row>8</xdr:row>
      <xdr:rowOff>0</xdr:rowOff>
    </xdr:from>
    <xdr:to>
      <xdr:col>17</xdr:col>
      <xdr:colOff>107950</xdr:colOff>
      <xdr:row>8</xdr:row>
      <xdr:rowOff>6350</xdr:rowOff>
    </xdr:to>
    <xdr:pic>
      <xdr:nvPicPr>
        <xdr:cNvPr id="21" name="Picture 20" descr="PT_TAB1BII_1">
          <a:extLst>
            <a:ext uri="{FF2B5EF4-FFF2-40B4-BE49-F238E27FC236}">
              <a16:creationId xmlns:a16="http://schemas.microsoft.com/office/drawing/2014/main" id="{6BA33BB4-DDC8-446F-A594-E32C0F6509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66650" y="12573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25</xdr:col>
      <xdr:colOff>0</xdr:colOff>
      <xdr:row>8</xdr:row>
      <xdr:rowOff>0</xdr:rowOff>
    </xdr:from>
    <xdr:ext cx="82550" cy="6350"/>
    <xdr:pic>
      <xdr:nvPicPr>
        <xdr:cNvPr id="22" name="Picture 17" descr="PT_TAB1LIX_1">
          <a:extLst>
            <a:ext uri="{FF2B5EF4-FFF2-40B4-BE49-F238E27FC236}">
              <a16:creationId xmlns:a16="http://schemas.microsoft.com/office/drawing/2014/main" id="{851E2C1C-4DBD-464D-8AF8-6489AA2B10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589500" y="1257300"/>
          <a:ext cx="825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8</xdr:row>
      <xdr:rowOff>0</xdr:rowOff>
    </xdr:from>
    <xdr:ext cx="101600" cy="6350"/>
    <xdr:pic>
      <xdr:nvPicPr>
        <xdr:cNvPr id="23" name="Picture 18" descr="PT_TAB1BII_1">
          <a:extLst>
            <a:ext uri="{FF2B5EF4-FFF2-40B4-BE49-F238E27FC236}">
              <a16:creationId xmlns:a16="http://schemas.microsoft.com/office/drawing/2014/main" id="{1CFC895C-9E51-4A81-96FF-1EDE414832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589500" y="1257300"/>
          <a:ext cx="10160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8</xdr:row>
      <xdr:rowOff>0</xdr:rowOff>
    </xdr:from>
    <xdr:ext cx="107950" cy="6350"/>
    <xdr:pic>
      <xdr:nvPicPr>
        <xdr:cNvPr id="24" name="Picture 19" descr="PT_TAB1BII_1">
          <a:extLst>
            <a:ext uri="{FF2B5EF4-FFF2-40B4-BE49-F238E27FC236}">
              <a16:creationId xmlns:a16="http://schemas.microsoft.com/office/drawing/2014/main" id="{F2A894E3-4678-4B60-BC70-684281EBFB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900900" y="12573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8</xdr:row>
      <xdr:rowOff>0</xdr:rowOff>
    </xdr:from>
    <xdr:ext cx="107950" cy="6350"/>
    <xdr:pic>
      <xdr:nvPicPr>
        <xdr:cNvPr id="25" name="Picture 20" descr="PT_TAB1BII_1">
          <a:extLst>
            <a:ext uri="{FF2B5EF4-FFF2-40B4-BE49-F238E27FC236}">
              <a16:creationId xmlns:a16="http://schemas.microsoft.com/office/drawing/2014/main" id="{37ECA3B0-7EB9-4158-9393-55027FA24D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900900" y="12573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8</xdr:row>
      <xdr:rowOff>0</xdr:rowOff>
    </xdr:from>
    <xdr:to>
      <xdr:col>0</xdr:col>
      <xdr:colOff>87312</xdr:colOff>
      <xdr:row>8</xdr:row>
      <xdr:rowOff>11112</xdr:rowOff>
    </xdr:to>
    <xdr:pic>
      <xdr:nvPicPr>
        <xdr:cNvPr id="2" name="Picture 1" descr="PT_TAB1LIX_1">
          <a:extLst>
            <a:ext uri="{FF2B5EF4-FFF2-40B4-BE49-F238E27FC236}">
              <a16:creationId xmlns:a16="http://schemas.microsoft.com/office/drawing/2014/main" id="{965C1026-E3FA-4FAC-9B3A-271829378A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57300"/>
          <a:ext cx="825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8</xdr:row>
      <xdr:rowOff>0</xdr:rowOff>
    </xdr:from>
    <xdr:to>
      <xdr:col>0</xdr:col>
      <xdr:colOff>106362</xdr:colOff>
      <xdr:row>8</xdr:row>
      <xdr:rowOff>11112</xdr:rowOff>
    </xdr:to>
    <xdr:pic>
      <xdr:nvPicPr>
        <xdr:cNvPr id="3" name="Picture 2" descr="PT_TAB1BII_1">
          <a:extLst>
            <a:ext uri="{FF2B5EF4-FFF2-40B4-BE49-F238E27FC236}">
              <a16:creationId xmlns:a16="http://schemas.microsoft.com/office/drawing/2014/main" id="{C3816CC1-B389-4E87-850C-7B8C40B0B5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257300"/>
          <a:ext cx="10160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xdr:row>
      <xdr:rowOff>0</xdr:rowOff>
    </xdr:from>
    <xdr:to>
      <xdr:col>3</xdr:col>
      <xdr:colOff>106362</xdr:colOff>
      <xdr:row>8</xdr:row>
      <xdr:rowOff>11112</xdr:rowOff>
    </xdr:to>
    <xdr:pic>
      <xdr:nvPicPr>
        <xdr:cNvPr id="4" name="Picture 3" descr="PT_TAB1BII_1">
          <a:extLst>
            <a:ext uri="{FF2B5EF4-FFF2-40B4-BE49-F238E27FC236}">
              <a16:creationId xmlns:a16="http://schemas.microsoft.com/office/drawing/2014/main" id="{CA39179B-6D17-455C-9799-988D9CC080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05000" y="1257300"/>
          <a:ext cx="10160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8</xdr:row>
      <xdr:rowOff>0</xdr:rowOff>
    </xdr:from>
    <xdr:to>
      <xdr:col>1</xdr:col>
      <xdr:colOff>112712</xdr:colOff>
      <xdr:row>8</xdr:row>
      <xdr:rowOff>11112</xdr:rowOff>
    </xdr:to>
    <xdr:pic>
      <xdr:nvPicPr>
        <xdr:cNvPr id="5" name="Picture 4" descr="PT_TAB1BII_1">
          <a:extLst>
            <a:ext uri="{FF2B5EF4-FFF2-40B4-BE49-F238E27FC236}">
              <a16:creationId xmlns:a16="http://schemas.microsoft.com/office/drawing/2014/main" id="{832940D2-84A7-4034-B3AD-893629962C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8500" y="12573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8</xdr:row>
      <xdr:rowOff>0</xdr:rowOff>
    </xdr:from>
    <xdr:to>
      <xdr:col>4</xdr:col>
      <xdr:colOff>112712</xdr:colOff>
      <xdr:row>8</xdr:row>
      <xdr:rowOff>11112</xdr:rowOff>
    </xdr:to>
    <xdr:pic>
      <xdr:nvPicPr>
        <xdr:cNvPr id="6" name="Picture 5" descr="PT_TAB1BII_1">
          <a:extLst>
            <a:ext uri="{FF2B5EF4-FFF2-40B4-BE49-F238E27FC236}">
              <a16:creationId xmlns:a16="http://schemas.microsoft.com/office/drawing/2014/main" id="{65D33717-61EB-456A-B676-14472BA680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13150" y="12573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8</xdr:row>
      <xdr:rowOff>0</xdr:rowOff>
    </xdr:from>
    <xdr:to>
      <xdr:col>5</xdr:col>
      <xdr:colOff>112712</xdr:colOff>
      <xdr:row>8</xdr:row>
      <xdr:rowOff>11112</xdr:rowOff>
    </xdr:to>
    <xdr:pic>
      <xdr:nvPicPr>
        <xdr:cNvPr id="7" name="Picture 6" descr="PT_TAB1BII_1">
          <a:extLst>
            <a:ext uri="{FF2B5EF4-FFF2-40B4-BE49-F238E27FC236}">
              <a16:creationId xmlns:a16="http://schemas.microsoft.com/office/drawing/2014/main" id="{CAC0754F-976E-4CEA-82B3-C588375EC1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13150" y="12573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8</xdr:row>
      <xdr:rowOff>0</xdr:rowOff>
    </xdr:from>
    <xdr:to>
      <xdr:col>1</xdr:col>
      <xdr:colOff>112712</xdr:colOff>
      <xdr:row>8</xdr:row>
      <xdr:rowOff>11112</xdr:rowOff>
    </xdr:to>
    <xdr:pic>
      <xdr:nvPicPr>
        <xdr:cNvPr id="8" name="Picture 7" descr="PT_TAB1BII_1">
          <a:extLst>
            <a:ext uri="{FF2B5EF4-FFF2-40B4-BE49-F238E27FC236}">
              <a16:creationId xmlns:a16="http://schemas.microsoft.com/office/drawing/2014/main" id="{BF929EC9-FC9E-4B9B-8970-26FCBE8E7E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8500" y="12573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8</xdr:row>
      <xdr:rowOff>0</xdr:rowOff>
    </xdr:from>
    <xdr:to>
      <xdr:col>5</xdr:col>
      <xdr:colOff>112712</xdr:colOff>
      <xdr:row>8</xdr:row>
      <xdr:rowOff>11112</xdr:rowOff>
    </xdr:to>
    <xdr:pic>
      <xdr:nvPicPr>
        <xdr:cNvPr id="9" name="Picture 8" descr="PT_TAB1BII_1">
          <a:extLst>
            <a:ext uri="{FF2B5EF4-FFF2-40B4-BE49-F238E27FC236}">
              <a16:creationId xmlns:a16="http://schemas.microsoft.com/office/drawing/2014/main" id="{4077A177-ED3C-4F29-A094-B58D0D0B4F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13150" y="12573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26</xdr:row>
      <xdr:rowOff>0</xdr:rowOff>
    </xdr:from>
    <xdr:to>
      <xdr:col>0</xdr:col>
      <xdr:colOff>87312</xdr:colOff>
      <xdr:row>26</xdr:row>
      <xdr:rowOff>17462</xdr:rowOff>
    </xdr:to>
    <xdr:pic>
      <xdr:nvPicPr>
        <xdr:cNvPr id="10" name="Picture 9" descr="PT_TAB1LIX_1">
          <a:extLst>
            <a:ext uri="{FF2B5EF4-FFF2-40B4-BE49-F238E27FC236}">
              <a16:creationId xmlns:a16="http://schemas.microsoft.com/office/drawing/2014/main" id="{AD35040A-E234-4733-8230-E697C9FC49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216400"/>
          <a:ext cx="825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26</xdr:row>
      <xdr:rowOff>0</xdr:rowOff>
    </xdr:from>
    <xdr:to>
      <xdr:col>0</xdr:col>
      <xdr:colOff>106362</xdr:colOff>
      <xdr:row>26</xdr:row>
      <xdr:rowOff>17462</xdr:rowOff>
    </xdr:to>
    <xdr:pic>
      <xdr:nvPicPr>
        <xdr:cNvPr id="11" name="Picture 10" descr="PT_TAB1BII_1">
          <a:extLst>
            <a:ext uri="{FF2B5EF4-FFF2-40B4-BE49-F238E27FC236}">
              <a16:creationId xmlns:a16="http://schemas.microsoft.com/office/drawing/2014/main" id="{1B3DE431-546B-4219-A944-909F60DDBC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216400"/>
          <a:ext cx="1016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26</xdr:row>
      <xdr:rowOff>0</xdr:rowOff>
    </xdr:from>
    <xdr:to>
      <xdr:col>3</xdr:col>
      <xdr:colOff>106362</xdr:colOff>
      <xdr:row>26</xdr:row>
      <xdr:rowOff>17462</xdr:rowOff>
    </xdr:to>
    <xdr:pic>
      <xdr:nvPicPr>
        <xdr:cNvPr id="12" name="Picture 11" descr="PT_TAB1BII_1">
          <a:extLst>
            <a:ext uri="{FF2B5EF4-FFF2-40B4-BE49-F238E27FC236}">
              <a16:creationId xmlns:a16="http://schemas.microsoft.com/office/drawing/2014/main" id="{47B5EBFB-3802-4543-B399-3A1E0B0669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05000" y="4216400"/>
          <a:ext cx="1016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26</xdr:row>
      <xdr:rowOff>0</xdr:rowOff>
    </xdr:from>
    <xdr:to>
      <xdr:col>1</xdr:col>
      <xdr:colOff>112712</xdr:colOff>
      <xdr:row>26</xdr:row>
      <xdr:rowOff>17462</xdr:rowOff>
    </xdr:to>
    <xdr:pic>
      <xdr:nvPicPr>
        <xdr:cNvPr id="13" name="Picture 12" descr="PT_TAB1BII_1">
          <a:extLst>
            <a:ext uri="{FF2B5EF4-FFF2-40B4-BE49-F238E27FC236}">
              <a16:creationId xmlns:a16="http://schemas.microsoft.com/office/drawing/2014/main" id="{85A4D1E2-0036-4BA4-AE71-CE6491BED2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8500" y="42164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26</xdr:row>
      <xdr:rowOff>0</xdr:rowOff>
    </xdr:from>
    <xdr:to>
      <xdr:col>4</xdr:col>
      <xdr:colOff>112712</xdr:colOff>
      <xdr:row>26</xdr:row>
      <xdr:rowOff>17462</xdr:rowOff>
    </xdr:to>
    <xdr:pic>
      <xdr:nvPicPr>
        <xdr:cNvPr id="14" name="Picture 13" descr="PT_TAB1BII_1">
          <a:extLst>
            <a:ext uri="{FF2B5EF4-FFF2-40B4-BE49-F238E27FC236}">
              <a16:creationId xmlns:a16="http://schemas.microsoft.com/office/drawing/2014/main" id="{B9C4FC60-D809-49A2-9B68-382662CB22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13150" y="42164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26</xdr:row>
      <xdr:rowOff>0</xdr:rowOff>
    </xdr:from>
    <xdr:to>
      <xdr:col>5</xdr:col>
      <xdr:colOff>112712</xdr:colOff>
      <xdr:row>26</xdr:row>
      <xdr:rowOff>17462</xdr:rowOff>
    </xdr:to>
    <xdr:pic>
      <xdr:nvPicPr>
        <xdr:cNvPr id="15" name="Picture 14" descr="PT_TAB1BII_1">
          <a:extLst>
            <a:ext uri="{FF2B5EF4-FFF2-40B4-BE49-F238E27FC236}">
              <a16:creationId xmlns:a16="http://schemas.microsoft.com/office/drawing/2014/main" id="{DCC55DB0-C0C5-4E4A-AC07-38291C4915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13150" y="42164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26</xdr:row>
      <xdr:rowOff>0</xdr:rowOff>
    </xdr:from>
    <xdr:to>
      <xdr:col>1</xdr:col>
      <xdr:colOff>112712</xdr:colOff>
      <xdr:row>26</xdr:row>
      <xdr:rowOff>17462</xdr:rowOff>
    </xdr:to>
    <xdr:pic>
      <xdr:nvPicPr>
        <xdr:cNvPr id="16" name="Picture 15" descr="PT_TAB1BII_1">
          <a:extLst>
            <a:ext uri="{FF2B5EF4-FFF2-40B4-BE49-F238E27FC236}">
              <a16:creationId xmlns:a16="http://schemas.microsoft.com/office/drawing/2014/main" id="{A7311CAD-5CE7-4081-975F-AC729872AB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8500" y="42164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26</xdr:row>
      <xdr:rowOff>0</xdr:rowOff>
    </xdr:from>
    <xdr:to>
      <xdr:col>5</xdr:col>
      <xdr:colOff>112712</xdr:colOff>
      <xdr:row>26</xdr:row>
      <xdr:rowOff>17462</xdr:rowOff>
    </xdr:to>
    <xdr:pic>
      <xdr:nvPicPr>
        <xdr:cNvPr id="17" name="Picture 16" descr="PT_TAB1BII_1">
          <a:extLst>
            <a:ext uri="{FF2B5EF4-FFF2-40B4-BE49-F238E27FC236}">
              <a16:creationId xmlns:a16="http://schemas.microsoft.com/office/drawing/2014/main" id="{D696A4A3-9510-4B7D-AAE8-C17D3F26B1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13150" y="42164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8</xdr:row>
      <xdr:rowOff>0</xdr:rowOff>
    </xdr:from>
    <xdr:to>
      <xdr:col>15</xdr:col>
      <xdr:colOff>87312</xdr:colOff>
      <xdr:row>8</xdr:row>
      <xdr:rowOff>11112</xdr:rowOff>
    </xdr:to>
    <xdr:pic>
      <xdr:nvPicPr>
        <xdr:cNvPr id="18" name="Picture 17" descr="PT_TAB1LIX_1">
          <a:extLst>
            <a:ext uri="{FF2B5EF4-FFF2-40B4-BE49-F238E27FC236}">
              <a16:creationId xmlns:a16="http://schemas.microsoft.com/office/drawing/2014/main" id="{F873A107-C11E-45BE-8443-9E989D8BEB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6650" y="1257300"/>
          <a:ext cx="825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8</xdr:row>
      <xdr:rowOff>0</xdr:rowOff>
    </xdr:from>
    <xdr:to>
      <xdr:col>15</xdr:col>
      <xdr:colOff>106362</xdr:colOff>
      <xdr:row>8</xdr:row>
      <xdr:rowOff>11112</xdr:rowOff>
    </xdr:to>
    <xdr:pic>
      <xdr:nvPicPr>
        <xdr:cNvPr id="19" name="Picture 18" descr="PT_TAB1BII_1">
          <a:extLst>
            <a:ext uri="{FF2B5EF4-FFF2-40B4-BE49-F238E27FC236}">
              <a16:creationId xmlns:a16="http://schemas.microsoft.com/office/drawing/2014/main" id="{2EDB9261-0995-4F2A-8DBF-DFC1C0F0BD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026650" y="1257300"/>
          <a:ext cx="10160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17</xdr:col>
      <xdr:colOff>0</xdr:colOff>
      <xdr:row>8</xdr:row>
      <xdr:rowOff>0</xdr:rowOff>
    </xdr:from>
    <xdr:to>
      <xdr:col>17</xdr:col>
      <xdr:colOff>112712</xdr:colOff>
      <xdr:row>8</xdr:row>
      <xdr:rowOff>11112</xdr:rowOff>
    </xdr:to>
    <xdr:pic>
      <xdr:nvPicPr>
        <xdr:cNvPr id="20" name="Picture 19" descr="PT_TAB1BII_1">
          <a:extLst>
            <a:ext uri="{FF2B5EF4-FFF2-40B4-BE49-F238E27FC236}">
              <a16:creationId xmlns:a16="http://schemas.microsoft.com/office/drawing/2014/main" id="{476FDDE1-8DA9-4909-A7EE-68F9C8D7BA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66650" y="12573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17</xdr:col>
      <xdr:colOff>0</xdr:colOff>
      <xdr:row>8</xdr:row>
      <xdr:rowOff>0</xdr:rowOff>
    </xdr:from>
    <xdr:to>
      <xdr:col>17</xdr:col>
      <xdr:colOff>112712</xdr:colOff>
      <xdr:row>8</xdr:row>
      <xdr:rowOff>11112</xdr:rowOff>
    </xdr:to>
    <xdr:pic>
      <xdr:nvPicPr>
        <xdr:cNvPr id="21" name="Picture 20" descr="PT_TAB1BII_1">
          <a:extLst>
            <a:ext uri="{FF2B5EF4-FFF2-40B4-BE49-F238E27FC236}">
              <a16:creationId xmlns:a16="http://schemas.microsoft.com/office/drawing/2014/main" id="{DCA57A55-BBAE-49D9-9FA9-02476CACE5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66650" y="12573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25</xdr:col>
      <xdr:colOff>0</xdr:colOff>
      <xdr:row>8</xdr:row>
      <xdr:rowOff>0</xdr:rowOff>
    </xdr:from>
    <xdr:ext cx="82550" cy="6350"/>
    <xdr:pic>
      <xdr:nvPicPr>
        <xdr:cNvPr id="22" name="Picture 17" descr="PT_TAB1LIX_1">
          <a:extLst>
            <a:ext uri="{FF2B5EF4-FFF2-40B4-BE49-F238E27FC236}">
              <a16:creationId xmlns:a16="http://schemas.microsoft.com/office/drawing/2014/main" id="{B99141C2-BFFA-4A38-A187-9817272D78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589500" y="1257300"/>
          <a:ext cx="825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8</xdr:row>
      <xdr:rowOff>0</xdr:rowOff>
    </xdr:from>
    <xdr:ext cx="101600" cy="6350"/>
    <xdr:pic>
      <xdr:nvPicPr>
        <xdr:cNvPr id="23" name="Picture 18" descr="PT_TAB1BII_1">
          <a:extLst>
            <a:ext uri="{FF2B5EF4-FFF2-40B4-BE49-F238E27FC236}">
              <a16:creationId xmlns:a16="http://schemas.microsoft.com/office/drawing/2014/main" id="{8FC42FCA-DD10-45CB-92FD-E17C2C7678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589500" y="1257300"/>
          <a:ext cx="10160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8</xdr:row>
      <xdr:rowOff>0</xdr:rowOff>
    </xdr:from>
    <xdr:ext cx="107950" cy="6350"/>
    <xdr:pic>
      <xdr:nvPicPr>
        <xdr:cNvPr id="24" name="Picture 19" descr="PT_TAB1BII_1">
          <a:extLst>
            <a:ext uri="{FF2B5EF4-FFF2-40B4-BE49-F238E27FC236}">
              <a16:creationId xmlns:a16="http://schemas.microsoft.com/office/drawing/2014/main" id="{4F15E28C-2043-4967-BEEF-2445DA3247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900900" y="12573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8</xdr:row>
      <xdr:rowOff>0</xdr:rowOff>
    </xdr:from>
    <xdr:ext cx="107950" cy="6350"/>
    <xdr:pic>
      <xdr:nvPicPr>
        <xdr:cNvPr id="25" name="Picture 20" descr="PT_TAB1BII_1">
          <a:extLst>
            <a:ext uri="{FF2B5EF4-FFF2-40B4-BE49-F238E27FC236}">
              <a16:creationId xmlns:a16="http://schemas.microsoft.com/office/drawing/2014/main" id="{251ABAE3-EC66-4D39-94FD-B5F5DACC25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900900" y="12573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8</xdr:row>
      <xdr:rowOff>0</xdr:rowOff>
    </xdr:from>
    <xdr:to>
      <xdr:col>0</xdr:col>
      <xdr:colOff>87312</xdr:colOff>
      <xdr:row>8</xdr:row>
      <xdr:rowOff>11112</xdr:rowOff>
    </xdr:to>
    <xdr:pic>
      <xdr:nvPicPr>
        <xdr:cNvPr id="2" name="Picture 1" descr="PT_TAB1LIX_1">
          <a:extLst>
            <a:ext uri="{FF2B5EF4-FFF2-40B4-BE49-F238E27FC236}">
              <a16:creationId xmlns:a16="http://schemas.microsoft.com/office/drawing/2014/main" id="{71A7D158-A1D4-4BF8-982A-239FF4D284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33525"/>
          <a:ext cx="825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8</xdr:row>
      <xdr:rowOff>0</xdr:rowOff>
    </xdr:from>
    <xdr:to>
      <xdr:col>0</xdr:col>
      <xdr:colOff>106362</xdr:colOff>
      <xdr:row>8</xdr:row>
      <xdr:rowOff>11112</xdr:rowOff>
    </xdr:to>
    <xdr:pic>
      <xdr:nvPicPr>
        <xdr:cNvPr id="3" name="Picture 2" descr="PT_TAB1BII_1">
          <a:extLst>
            <a:ext uri="{FF2B5EF4-FFF2-40B4-BE49-F238E27FC236}">
              <a16:creationId xmlns:a16="http://schemas.microsoft.com/office/drawing/2014/main" id="{720B6054-F1DB-455E-B305-4C974B0389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533525"/>
          <a:ext cx="10160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xdr:row>
      <xdr:rowOff>0</xdr:rowOff>
    </xdr:from>
    <xdr:to>
      <xdr:col>3</xdr:col>
      <xdr:colOff>106362</xdr:colOff>
      <xdr:row>8</xdr:row>
      <xdr:rowOff>11112</xdr:rowOff>
    </xdr:to>
    <xdr:pic>
      <xdr:nvPicPr>
        <xdr:cNvPr id="4" name="Picture 3" descr="PT_TAB1BII_1">
          <a:extLst>
            <a:ext uri="{FF2B5EF4-FFF2-40B4-BE49-F238E27FC236}">
              <a16:creationId xmlns:a16="http://schemas.microsoft.com/office/drawing/2014/main" id="{A85B3DD4-BD13-4D3C-A030-1BB56A2711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19275" y="1533525"/>
          <a:ext cx="10160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8</xdr:row>
      <xdr:rowOff>0</xdr:rowOff>
    </xdr:from>
    <xdr:to>
      <xdr:col>1</xdr:col>
      <xdr:colOff>112712</xdr:colOff>
      <xdr:row>8</xdr:row>
      <xdr:rowOff>11112</xdr:rowOff>
    </xdr:to>
    <xdr:pic>
      <xdr:nvPicPr>
        <xdr:cNvPr id="5" name="Picture 4" descr="PT_TAB1BII_1">
          <a:extLst>
            <a:ext uri="{FF2B5EF4-FFF2-40B4-BE49-F238E27FC236}">
              <a16:creationId xmlns:a16="http://schemas.microsoft.com/office/drawing/2014/main" id="{C4CB12CB-06DB-49CB-8AE5-294A6CA96E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66750" y="1533525"/>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8</xdr:row>
      <xdr:rowOff>0</xdr:rowOff>
    </xdr:from>
    <xdr:to>
      <xdr:col>4</xdr:col>
      <xdr:colOff>112712</xdr:colOff>
      <xdr:row>8</xdr:row>
      <xdr:rowOff>11112</xdr:rowOff>
    </xdr:to>
    <xdr:pic>
      <xdr:nvPicPr>
        <xdr:cNvPr id="6" name="Picture 5" descr="PT_TAB1BII_1">
          <a:extLst>
            <a:ext uri="{FF2B5EF4-FFF2-40B4-BE49-F238E27FC236}">
              <a16:creationId xmlns:a16="http://schemas.microsoft.com/office/drawing/2014/main" id="{C306A9E6-B52A-4AD4-B7B6-69B30ED2DF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38575" y="1533525"/>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8</xdr:row>
      <xdr:rowOff>0</xdr:rowOff>
    </xdr:from>
    <xdr:to>
      <xdr:col>5</xdr:col>
      <xdr:colOff>112712</xdr:colOff>
      <xdr:row>8</xdr:row>
      <xdr:rowOff>11112</xdr:rowOff>
    </xdr:to>
    <xdr:pic>
      <xdr:nvPicPr>
        <xdr:cNvPr id="7" name="Picture 6" descr="PT_TAB1BII_1">
          <a:extLst>
            <a:ext uri="{FF2B5EF4-FFF2-40B4-BE49-F238E27FC236}">
              <a16:creationId xmlns:a16="http://schemas.microsoft.com/office/drawing/2014/main" id="{09311C09-A023-45E5-BCF4-B7B319296A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9575" y="1533525"/>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8</xdr:row>
      <xdr:rowOff>0</xdr:rowOff>
    </xdr:from>
    <xdr:to>
      <xdr:col>1</xdr:col>
      <xdr:colOff>112712</xdr:colOff>
      <xdr:row>8</xdr:row>
      <xdr:rowOff>11112</xdr:rowOff>
    </xdr:to>
    <xdr:pic>
      <xdr:nvPicPr>
        <xdr:cNvPr id="8" name="Picture 7" descr="PT_TAB1BII_1">
          <a:extLst>
            <a:ext uri="{FF2B5EF4-FFF2-40B4-BE49-F238E27FC236}">
              <a16:creationId xmlns:a16="http://schemas.microsoft.com/office/drawing/2014/main" id="{54F5339B-063F-4ED3-8264-AFE2D640B7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66750" y="1533525"/>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8</xdr:row>
      <xdr:rowOff>0</xdr:rowOff>
    </xdr:from>
    <xdr:to>
      <xdr:col>5</xdr:col>
      <xdr:colOff>112712</xdr:colOff>
      <xdr:row>8</xdr:row>
      <xdr:rowOff>11112</xdr:rowOff>
    </xdr:to>
    <xdr:pic>
      <xdr:nvPicPr>
        <xdr:cNvPr id="9" name="Picture 8" descr="PT_TAB1BII_1">
          <a:extLst>
            <a:ext uri="{FF2B5EF4-FFF2-40B4-BE49-F238E27FC236}">
              <a16:creationId xmlns:a16="http://schemas.microsoft.com/office/drawing/2014/main" id="{40B40053-BBDC-47F8-9B22-255CA71D0F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9575" y="1533525"/>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26</xdr:row>
      <xdr:rowOff>0</xdr:rowOff>
    </xdr:from>
    <xdr:to>
      <xdr:col>0</xdr:col>
      <xdr:colOff>87312</xdr:colOff>
      <xdr:row>26</xdr:row>
      <xdr:rowOff>17462</xdr:rowOff>
    </xdr:to>
    <xdr:pic>
      <xdr:nvPicPr>
        <xdr:cNvPr id="10" name="Picture 9" descr="PT_TAB1LIX_1">
          <a:extLst>
            <a:ext uri="{FF2B5EF4-FFF2-40B4-BE49-F238E27FC236}">
              <a16:creationId xmlns:a16="http://schemas.microsoft.com/office/drawing/2014/main" id="{57B378BF-DFFA-464B-9D1B-4D7964640F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676775"/>
          <a:ext cx="825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26</xdr:row>
      <xdr:rowOff>0</xdr:rowOff>
    </xdr:from>
    <xdr:to>
      <xdr:col>0</xdr:col>
      <xdr:colOff>106362</xdr:colOff>
      <xdr:row>26</xdr:row>
      <xdr:rowOff>17462</xdr:rowOff>
    </xdr:to>
    <xdr:pic>
      <xdr:nvPicPr>
        <xdr:cNvPr id="11" name="Picture 10" descr="PT_TAB1BII_1">
          <a:extLst>
            <a:ext uri="{FF2B5EF4-FFF2-40B4-BE49-F238E27FC236}">
              <a16:creationId xmlns:a16="http://schemas.microsoft.com/office/drawing/2014/main" id="{2D4301F5-F059-4E8D-BE39-5D10933FA7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676775"/>
          <a:ext cx="1016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26</xdr:row>
      <xdr:rowOff>0</xdr:rowOff>
    </xdr:from>
    <xdr:to>
      <xdr:col>3</xdr:col>
      <xdr:colOff>106362</xdr:colOff>
      <xdr:row>26</xdr:row>
      <xdr:rowOff>17462</xdr:rowOff>
    </xdr:to>
    <xdr:pic>
      <xdr:nvPicPr>
        <xdr:cNvPr id="12" name="Picture 11" descr="PT_TAB1BII_1">
          <a:extLst>
            <a:ext uri="{FF2B5EF4-FFF2-40B4-BE49-F238E27FC236}">
              <a16:creationId xmlns:a16="http://schemas.microsoft.com/office/drawing/2014/main" id="{55A49B10-766C-4A69-85F0-3A4196CAA2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19275" y="4676775"/>
          <a:ext cx="1016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26</xdr:row>
      <xdr:rowOff>0</xdr:rowOff>
    </xdr:from>
    <xdr:to>
      <xdr:col>1</xdr:col>
      <xdr:colOff>112712</xdr:colOff>
      <xdr:row>26</xdr:row>
      <xdr:rowOff>17462</xdr:rowOff>
    </xdr:to>
    <xdr:pic>
      <xdr:nvPicPr>
        <xdr:cNvPr id="13" name="Picture 12" descr="PT_TAB1BII_1">
          <a:extLst>
            <a:ext uri="{FF2B5EF4-FFF2-40B4-BE49-F238E27FC236}">
              <a16:creationId xmlns:a16="http://schemas.microsoft.com/office/drawing/2014/main" id="{50C9BD71-E121-4C38-AE43-0B79FA33E8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66750" y="4676775"/>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26</xdr:row>
      <xdr:rowOff>0</xdr:rowOff>
    </xdr:from>
    <xdr:to>
      <xdr:col>4</xdr:col>
      <xdr:colOff>112712</xdr:colOff>
      <xdr:row>26</xdr:row>
      <xdr:rowOff>17462</xdr:rowOff>
    </xdr:to>
    <xdr:pic>
      <xdr:nvPicPr>
        <xdr:cNvPr id="14" name="Picture 13" descr="PT_TAB1BII_1">
          <a:extLst>
            <a:ext uri="{FF2B5EF4-FFF2-40B4-BE49-F238E27FC236}">
              <a16:creationId xmlns:a16="http://schemas.microsoft.com/office/drawing/2014/main" id="{403EC959-1A28-46C9-BA8D-FD7276F687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38575" y="4676775"/>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26</xdr:row>
      <xdr:rowOff>0</xdr:rowOff>
    </xdr:from>
    <xdr:to>
      <xdr:col>5</xdr:col>
      <xdr:colOff>112712</xdr:colOff>
      <xdr:row>26</xdr:row>
      <xdr:rowOff>17462</xdr:rowOff>
    </xdr:to>
    <xdr:pic>
      <xdr:nvPicPr>
        <xdr:cNvPr id="15" name="Picture 14" descr="PT_TAB1BII_1">
          <a:extLst>
            <a:ext uri="{FF2B5EF4-FFF2-40B4-BE49-F238E27FC236}">
              <a16:creationId xmlns:a16="http://schemas.microsoft.com/office/drawing/2014/main" id="{61F3D901-DBD4-4C7B-9F0D-461FD59E5E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9575" y="4676775"/>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26</xdr:row>
      <xdr:rowOff>0</xdr:rowOff>
    </xdr:from>
    <xdr:to>
      <xdr:col>1</xdr:col>
      <xdr:colOff>112712</xdr:colOff>
      <xdr:row>26</xdr:row>
      <xdr:rowOff>17462</xdr:rowOff>
    </xdr:to>
    <xdr:pic>
      <xdr:nvPicPr>
        <xdr:cNvPr id="16" name="Picture 15" descr="PT_TAB1BII_1">
          <a:extLst>
            <a:ext uri="{FF2B5EF4-FFF2-40B4-BE49-F238E27FC236}">
              <a16:creationId xmlns:a16="http://schemas.microsoft.com/office/drawing/2014/main" id="{FB4CB0D4-D78C-4CE2-8499-49B8CC1CEA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66750" y="4676775"/>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26</xdr:row>
      <xdr:rowOff>0</xdr:rowOff>
    </xdr:from>
    <xdr:to>
      <xdr:col>5</xdr:col>
      <xdr:colOff>112712</xdr:colOff>
      <xdr:row>26</xdr:row>
      <xdr:rowOff>17462</xdr:rowOff>
    </xdr:to>
    <xdr:pic>
      <xdr:nvPicPr>
        <xdr:cNvPr id="17" name="Picture 16" descr="PT_TAB1BII_1">
          <a:extLst>
            <a:ext uri="{FF2B5EF4-FFF2-40B4-BE49-F238E27FC236}">
              <a16:creationId xmlns:a16="http://schemas.microsoft.com/office/drawing/2014/main" id="{4AADC0AC-7BB1-42B5-A83F-A39A5D76F6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9575" y="4676775"/>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8</xdr:row>
      <xdr:rowOff>0</xdr:rowOff>
    </xdr:from>
    <xdr:to>
      <xdr:col>35</xdr:col>
      <xdr:colOff>87312</xdr:colOff>
      <xdr:row>8</xdr:row>
      <xdr:rowOff>11112</xdr:rowOff>
    </xdr:to>
    <xdr:pic>
      <xdr:nvPicPr>
        <xdr:cNvPr id="18" name="Picture 17" descr="PT_TAB1LIX_1">
          <a:extLst>
            <a:ext uri="{FF2B5EF4-FFF2-40B4-BE49-F238E27FC236}">
              <a16:creationId xmlns:a16="http://schemas.microsoft.com/office/drawing/2014/main" id="{2584ECD7-458F-4544-8E84-9BA4643E68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0825" y="1533525"/>
          <a:ext cx="825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8</xdr:row>
      <xdr:rowOff>0</xdr:rowOff>
    </xdr:from>
    <xdr:to>
      <xdr:col>35</xdr:col>
      <xdr:colOff>106362</xdr:colOff>
      <xdr:row>8</xdr:row>
      <xdr:rowOff>11112</xdr:rowOff>
    </xdr:to>
    <xdr:pic>
      <xdr:nvPicPr>
        <xdr:cNvPr id="19" name="Picture 18" descr="PT_TAB1BII_1">
          <a:extLst>
            <a:ext uri="{FF2B5EF4-FFF2-40B4-BE49-F238E27FC236}">
              <a16:creationId xmlns:a16="http://schemas.microsoft.com/office/drawing/2014/main" id="{0FF86106-B8D5-466F-90E1-7DB5A946F8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410825" y="1533525"/>
          <a:ext cx="10160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17</xdr:col>
      <xdr:colOff>0</xdr:colOff>
      <xdr:row>8</xdr:row>
      <xdr:rowOff>0</xdr:rowOff>
    </xdr:from>
    <xdr:to>
      <xdr:col>35</xdr:col>
      <xdr:colOff>112712</xdr:colOff>
      <xdr:row>8</xdr:row>
      <xdr:rowOff>11112</xdr:rowOff>
    </xdr:to>
    <xdr:pic>
      <xdr:nvPicPr>
        <xdr:cNvPr id="20" name="Picture 19" descr="PT_TAB1BII_1">
          <a:extLst>
            <a:ext uri="{FF2B5EF4-FFF2-40B4-BE49-F238E27FC236}">
              <a16:creationId xmlns:a16="http://schemas.microsoft.com/office/drawing/2014/main" id="{880F7AEE-C235-415F-94A9-055B251953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182600" y="1533525"/>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17</xdr:col>
      <xdr:colOff>0</xdr:colOff>
      <xdr:row>8</xdr:row>
      <xdr:rowOff>0</xdr:rowOff>
    </xdr:from>
    <xdr:to>
      <xdr:col>35</xdr:col>
      <xdr:colOff>112712</xdr:colOff>
      <xdr:row>8</xdr:row>
      <xdr:rowOff>11112</xdr:rowOff>
    </xdr:to>
    <xdr:pic>
      <xdr:nvPicPr>
        <xdr:cNvPr id="21" name="Picture 20" descr="PT_TAB1BII_1">
          <a:extLst>
            <a:ext uri="{FF2B5EF4-FFF2-40B4-BE49-F238E27FC236}">
              <a16:creationId xmlns:a16="http://schemas.microsoft.com/office/drawing/2014/main" id="{438AA4F2-F69C-4BB8-B51B-577B430253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182600" y="1533525"/>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25</xdr:col>
      <xdr:colOff>0</xdr:colOff>
      <xdr:row>8</xdr:row>
      <xdr:rowOff>0</xdr:rowOff>
    </xdr:from>
    <xdr:ext cx="82550" cy="6350"/>
    <xdr:pic>
      <xdr:nvPicPr>
        <xdr:cNvPr id="22" name="Picture 17" descr="PT_TAB1LIX_1">
          <a:extLst>
            <a:ext uri="{FF2B5EF4-FFF2-40B4-BE49-F238E27FC236}">
              <a16:creationId xmlns:a16="http://schemas.microsoft.com/office/drawing/2014/main" id="{4490DE87-DF1B-4781-950E-A82AD6709F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611725" y="1533525"/>
          <a:ext cx="825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8</xdr:row>
      <xdr:rowOff>0</xdr:rowOff>
    </xdr:from>
    <xdr:ext cx="101600" cy="6350"/>
    <xdr:pic>
      <xdr:nvPicPr>
        <xdr:cNvPr id="23" name="Picture 18" descr="PT_TAB1BII_1">
          <a:extLst>
            <a:ext uri="{FF2B5EF4-FFF2-40B4-BE49-F238E27FC236}">
              <a16:creationId xmlns:a16="http://schemas.microsoft.com/office/drawing/2014/main" id="{A625CD00-9EE4-491F-9597-95B21B86EB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611725" y="1533525"/>
          <a:ext cx="10160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8</xdr:row>
      <xdr:rowOff>0</xdr:rowOff>
    </xdr:from>
    <xdr:ext cx="107950" cy="6350"/>
    <xdr:pic>
      <xdr:nvPicPr>
        <xdr:cNvPr id="24" name="Picture 19" descr="PT_TAB1BII_1">
          <a:extLst>
            <a:ext uri="{FF2B5EF4-FFF2-40B4-BE49-F238E27FC236}">
              <a16:creationId xmlns:a16="http://schemas.microsoft.com/office/drawing/2014/main" id="{C8767E00-A103-4A59-9051-049D87B86A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145375" y="1533525"/>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8</xdr:row>
      <xdr:rowOff>0</xdr:rowOff>
    </xdr:from>
    <xdr:ext cx="107950" cy="6350"/>
    <xdr:pic>
      <xdr:nvPicPr>
        <xdr:cNvPr id="25" name="Picture 20" descr="PT_TAB1BII_1">
          <a:extLst>
            <a:ext uri="{FF2B5EF4-FFF2-40B4-BE49-F238E27FC236}">
              <a16:creationId xmlns:a16="http://schemas.microsoft.com/office/drawing/2014/main" id="{D633FA7F-2724-49DE-946E-AF79826F4B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145375" y="1533525"/>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8</xdr:row>
      <xdr:rowOff>0</xdr:rowOff>
    </xdr:from>
    <xdr:to>
      <xdr:col>0</xdr:col>
      <xdr:colOff>87312</xdr:colOff>
      <xdr:row>8</xdr:row>
      <xdr:rowOff>11112</xdr:rowOff>
    </xdr:to>
    <xdr:pic>
      <xdr:nvPicPr>
        <xdr:cNvPr id="2" name="Picture 1" descr="PT_TAB1LIX_1">
          <a:extLst>
            <a:ext uri="{FF2B5EF4-FFF2-40B4-BE49-F238E27FC236}">
              <a16:creationId xmlns:a16="http://schemas.microsoft.com/office/drawing/2014/main" id="{67BE55CF-D6A0-4852-804F-94B0C8060F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33525"/>
          <a:ext cx="825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8</xdr:row>
      <xdr:rowOff>0</xdr:rowOff>
    </xdr:from>
    <xdr:to>
      <xdr:col>0</xdr:col>
      <xdr:colOff>106362</xdr:colOff>
      <xdr:row>8</xdr:row>
      <xdr:rowOff>11112</xdr:rowOff>
    </xdr:to>
    <xdr:pic>
      <xdr:nvPicPr>
        <xdr:cNvPr id="3" name="Picture 2" descr="PT_TAB1BII_1">
          <a:extLst>
            <a:ext uri="{FF2B5EF4-FFF2-40B4-BE49-F238E27FC236}">
              <a16:creationId xmlns:a16="http://schemas.microsoft.com/office/drawing/2014/main" id="{B7651066-E563-416A-84F9-371F40AF4A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533525"/>
          <a:ext cx="10160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xdr:row>
      <xdr:rowOff>0</xdr:rowOff>
    </xdr:from>
    <xdr:to>
      <xdr:col>3</xdr:col>
      <xdr:colOff>106362</xdr:colOff>
      <xdr:row>8</xdr:row>
      <xdr:rowOff>11112</xdr:rowOff>
    </xdr:to>
    <xdr:pic>
      <xdr:nvPicPr>
        <xdr:cNvPr id="4" name="Picture 3" descr="PT_TAB1BII_1">
          <a:extLst>
            <a:ext uri="{FF2B5EF4-FFF2-40B4-BE49-F238E27FC236}">
              <a16:creationId xmlns:a16="http://schemas.microsoft.com/office/drawing/2014/main" id="{A45ED44E-969F-49E6-A223-6DD0FF8F68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19275" y="1533525"/>
          <a:ext cx="10160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8</xdr:row>
      <xdr:rowOff>0</xdr:rowOff>
    </xdr:from>
    <xdr:to>
      <xdr:col>1</xdr:col>
      <xdr:colOff>112712</xdr:colOff>
      <xdr:row>8</xdr:row>
      <xdr:rowOff>11112</xdr:rowOff>
    </xdr:to>
    <xdr:pic>
      <xdr:nvPicPr>
        <xdr:cNvPr id="5" name="Picture 4" descr="PT_TAB1BII_1">
          <a:extLst>
            <a:ext uri="{FF2B5EF4-FFF2-40B4-BE49-F238E27FC236}">
              <a16:creationId xmlns:a16="http://schemas.microsoft.com/office/drawing/2014/main" id="{68CC6F5F-FC7C-4295-9311-B697B29CB3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66750" y="1533525"/>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8</xdr:row>
      <xdr:rowOff>0</xdr:rowOff>
    </xdr:from>
    <xdr:to>
      <xdr:col>4</xdr:col>
      <xdr:colOff>112712</xdr:colOff>
      <xdr:row>8</xdr:row>
      <xdr:rowOff>11112</xdr:rowOff>
    </xdr:to>
    <xdr:pic>
      <xdr:nvPicPr>
        <xdr:cNvPr id="6" name="Picture 5" descr="PT_TAB1BII_1">
          <a:extLst>
            <a:ext uri="{FF2B5EF4-FFF2-40B4-BE49-F238E27FC236}">
              <a16:creationId xmlns:a16="http://schemas.microsoft.com/office/drawing/2014/main" id="{96A817FB-56DE-4890-A8A3-272E7F6A91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38575" y="1533525"/>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8</xdr:row>
      <xdr:rowOff>0</xdr:rowOff>
    </xdr:from>
    <xdr:to>
      <xdr:col>5</xdr:col>
      <xdr:colOff>112712</xdr:colOff>
      <xdr:row>8</xdr:row>
      <xdr:rowOff>11112</xdr:rowOff>
    </xdr:to>
    <xdr:pic>
      <xdr:nvPicPr>
        <xdr:cNvPr id="7" name="Picture 6" descr="PT_TAB1BII_1">
          <a:extLst>
            <a:ext uri="{FF2B5EF4-FFF2-40B4-BE49-F238E27FC236}">
              <a16:creationId xmlns:a16="http://schemas.microsoft.com/office/drawing/2014/main" id="{DAFC1BB9-5464-41FD-A4EF-4B098150E9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9575" y="1533525"/>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8</xdr:row>
      <xdr:rowOff>0</xdr:rowOff>
    </xdr:from>
    <xdr:to>
      <xdr:col>1</xdr:col>
      <xdr:colOff>112712</xdr:colOff>
      <xdr:row>8</xdr:row>
      <xdr:rowOff>11112</xdr:rowOff>
    </xdr:to>
    <xdr:pic>
      <xdr:nvPicPr>
        <xdr:cNvPr id="8" name="Picture 7" descr="PT_TAB1BII_1">
          <a:extLst>
            <a:ext uri="{FF2B5EF4-FFF2-40B4-BE49-F238E27FC236}">
              <a16:creationId xmlns:a16="http://schemas.microsoft.com/office/drawing/2014/main" id="{C91ACC2D-1906-4592-AFC3-9B848D4240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66750" y="1533525"/>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8</xdr:row>
      <xdr:rowOff>0</xdr:rowOff>
    </xdr:from>
    <xdr:to>
      <xdr:col>5</xdr:col>
      <xdr:colOff>112712</xdr:colOff>
      <xdr:row>8</xdr:row>
      <xdr:rowOff>11112</xdr:rowOff>
    </xdr:to>
    <xdr:pic>
      <xdr:nvPicPr>
        <xdr:cNvPr id="9" name="Picture 8" descr="PT_TAB1BII_1">
          <a:extLst>
            <a:ext uri="{FF2B5EF4-FFF2-40B4-BE49-F238E27FC236}">
              <a16:creationId xmlns:a16="http://schemas.microsoft.com/office/drawing/2014/main" id="{DBD60F26-B0F7-4A31-ACF1-9415B91E61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9575" y="1533525"/>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26</xdr:row>
      <xdr:rowOff>0</xdr:rowOff>
    </xdr:from>
    <xdr:to>
      <xdr:col>0</xdr:col>
      <xdr:colOff>87312</xdr:colOff>
      <xdr:row>26</xdr:row>
      <xdr:rowOff>17462</xdr:rowOff>
    </xdr:to>
    <xdr:pic>
      <xdr:nvPicPr>
        <xdr:cNvPr id="10" name="Picture 9" descr="PT_TAB1LIX_1">
          <a:extLst>
            <a:ext uri="{FF2B5EF4-FFF2-40B4-BE49-F238E27FC236}">
              <a16:creationId xmlns:a16="http://schemas.microsoft.com/office/drawing/2014/main" id="{5CEC9D71-7E72-44D6-A69E-EF7222ED52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676775"/>
          <a:ext cx="825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26</xdr:row>
      <xdr:rowOff>0</xdr:rowOff>
    </xdr:from>
    <xdr:to>
      <xdr:col>0</xdr:col>
      <xdr:colOff>106362</xdr:colOff>
      <xdr:row>26</xdr:row>
      <xdr:rowOff>17462</xdr:rowOff>
    </xdr:to>
    <xdr:pic>
      <xdr:nvPicPr>
        <xdr:cNvPr id="11" name="Picture 10" descr="PT_TAB1BII_1">
          <a:extLst>
            <a:ext uri="{FF2B5EF4-FFF2-40B4-BE49-F238E27FC236}">
              <a16:creationId xmlns:a16="http://schemas.microsoft.com/office/drawing/2014/main" id="{9CB64516-E83C-42AA-A283-1C23A4785C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676775"/>
          <a:ext cx="1016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26</xdr:row>
      <xdr:rowOff>0</xdr:rowOff>
    </xdr:from>
    <xdr:to>
      <xdr:col>3</xdr:col>
      <xdr:colOff>106362</xdr:colOff>
      <xdr:row>26</xdr:row>
      <xdr:rowOff>17462</xdr:rowOff>
    </xdr:to>
    <xdr:pic>
      <xdr:nvPicPr>
        <xdr:cNvPr id="12" name="Picture 11" descr="PT_TAB1BII_1">
          <a:extLst>
            <a:ext uri="{FF2B5EF4-FFF2-40B4-BE49-F238E27FC236}">
              <a16:creationId xmlns:a16="http://schemas.microsoft.com/office/drawing/2014/main" id="{D72580F6-696E-4CEA-801B-4706CE8818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19275" y="4676775"/>
          <a:ext cx="1016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26</xdr:row>
      <xdr:rowOff>0</xdr:rowOff>
    </xdr:from>
    <xdr:to>
      <xdr:col>1</xdr:col>
      <xdr:colOff>112712</xdr:colOff>
      <xdr:row>26</xdr:row>
      <xdr:rowOff>17462</xdr:rowOff>
    </xdr:to>
    <xdr:pic>
      <xdr:nvPicPr>
        <xdr:cNvPr id="13" name="Picture 12" descr="PT_TAB1BII_1">
          <a:extLst>
            <a:ext uri="{FF2B5EF4-FFF2-40B4-BE49-F238E27FC236}">
              <a16:creationId xmlns:a16="http://schemas.microsoft.com/office/drawing/2014/main" id="{12A33AA4-FFDC-45C7-B90B-7843C5D218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66750" y="4676775"/>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26</xdr:row>
      <xdr:rowOff>0</xdr:rowOff>
    </xdr:from>
    <xdr:to>
      <xdr:col>4</xdr:col>
      <xdr:colOff>112712</xdr:colOff>
      <xdr:row>26</xdr:row>
      <xdr:rowOff>17462</xdr:rowOff>
    </xdr:to>
    <xdr:pic>
      <xdr:nvPicPr>
        <xdr:cNvPr id="14" name="Picture 13" descr="PT_TAB1BII_1">
          <a:extLst>
            <a:ext uri="{FF2B5EF4-FFF2-40B4-BE49-F238E27FC236}">
              <a16:creationId xmlns:a16="http://schemas.microsoft.com/office/drawing/2014/main" id="{0967708B-14FF-4073-B1B2-576F967E10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38575" y="4676775"/>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26</xdr:row>
      <xdr:rowOff>0</xdr:rowOff>
    </xdr:from>
    <xdr:to>
      <xdr:col>5</xdr:col>
      <xdr:colOff>112712</xdr:colOff>
      <xdr:row>26</xdr:row>
      <xdr:rowOff>17462</xdr:rowOff>
    </xdr:to>
    <xdr:pic>
      <xdr:nvPicPr>
        <xdr:cNvPr id="15" name="Picture 14" descr="PT_TAB1BII_1">
          <a:extLst>
            <a:ext uri="{FF2B5EF4-FFF2-40B4-BE49-F238E27FC236}">
              <a16:creationId xmlns:a16="http://schemas.microsoft.com/office/drawing/2014/main" id="{FD6089A7-2644-46C9-B59B-16AD12E559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9575" y="4676775"/>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26</xdr:row>
      <xdr:rowOff>0</xdr:rowOff>
    </xdr:from>
    <xdr:to>
      <xdr:col>1</xdr:col>
      <xdr:colOff>112712</xdr:colOff>
      <xdr:row>26</xdr:row>
      <xdr:rowOff>17462</xdr:rowOff>
    </xdr:to>
    <xdr:pic>
      <xdr:nvPicPr>
        <xdr:cNvPr id="16" name="Picture 15" descr="PT_TAB1BII_1">
          <a:extLst>
            <a:ext uri="{FF2B5EF4-FFF2-40B4-BE49-F238E27FC236}">
              <a16:creationId xmlns:a16="http://schemas.microsoft.com/office/drawing/2014/main" id="{DE430868-3239-40D8-801D-39F77FEEDB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66750" y="4676775"/>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26</xdr:row>
      <xdr:rowOff>0</xdr:rowOff>
    </xdr:from>
    <xdr:to>
      <xdr:col>5</xdr:col>
      <xdr:colOff>112712</xdr:colOff>
      <xdr:row>26</xdr:row>
      <xdr:rowOff>17462</xdr:rowOff>
    </xdr:to>
    <xdr:pic>
      <xdr:nvPicPr>
        <xdr:cNvPr id="17" name="Picture 16" descr="PT_TAB1BII_1">
          <a:extLst>
            <a:ext uri="{FF2B5EF4-FFF2-40B4-BE49-F238E27FC236}">
              <a16:creationId xmlns:a16="http://schemas.microsoft.com/office/drawing/2014/main" id="{0BFB1B73-3536-4B74-A1F1-35D4CDDD2E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9575" y="4676775"/>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8</xdr:row>
      <xdr:rowOff>0</xdr:rowOff>
    </xdr:from>
    <xdr:to>
      <xdr:col>35</xdr:col>
      <xdr:colOff>87312</xdr:colOff>
      <xdr:row>8</xdr:row>
      <xdr:rowOff>11112</xdr:rowOff>
    </xdr:to>
    <xdr:pic>
      <xdr:nvPicPr>
        <xdr:cNvPr id="18" name="Picture 17" descr="PT_TAB1LIX_1">
          <a:extLst>
            <a:ext uri="{FF2B5EF4-FFF2-40B4-BE49-F238E27FC236}">
              <a16:creationId xmlns:a16="http://schemas.microsoft.com/office/drawing/2014/main" id="{7DEDF2B0-F704-4528-B34D-AF49129138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0825" y="1533525"/>
          <a:ext cx="825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8</xdr:row>
      <xdr:rowOff>0</xdr:rowOff>
    </xdr:from>
    <xdr:to>
      <xdr:col>35</xdr:col>
      <xdr:colOff>106362</xdr:colOff>
      <xdr:row>8</xdr:row>
      <xdr:rowOff>11112</xdr:rowOff>
    </xdr:to>
    <xdr:pic>
      <xdr:nvPicPr>
        <xdr:cNvPr id="19" name="Picture 18" descr="PT_TAB1BII_1">
          <a:extLst>
            <a:ext uri="{FF2B5EF4-FFF2-40B4-BE49-F238E27FC236}">
              <a16:creationId xmlns:a16="http://schemas.microsoft.com/office/drawing/2014/main" id="{6DD4343D-778A-4427-AC6E-D0B68FF70A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410825" y="1533525"/>
          <a:ext cx="10160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17</xdr:col>
      <xdr:colOff>0</xdr:colOff>
      <xdr:row>8</xdr:row>
      <xdr:rowOff>0</xdr:rowOff>
    </xdr:from>
    <xdr:to>
      <xdr:col>35</xdr:col>
      <xdr:colOff>112712</xdr:colOff>
      <xdr:row>8</xdr:row>
      <xdr:rowOff>11112</xdr:rowOff>
    </xdr:to>
    <xdr:pic>
      <xdr:nvPicPr>
        <xdr:cNvPr id="20" name="Picture 19" descr="PT_TAB1BII_1">
          <a:extLst>
            <a:ext uri="{FF2B5EF4-FFF2-40B4-BE49-F238E27FC236}">
              <a16:creationId xmlns:a16="http://schemas.microsoft.com/office/drawing/2014/main" id="{0590A507-7B41-401D-9154-0C605AD15E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335000" y="1533525"/>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17</xdr:col>
      <xdr:colOff>0</xdr:colOff>
      <xdr:row>8</xdr:row>
      <xdr:rowOff>0</xdr:rowOff>
    </xdr:from>
    <xdr:to>
      <xdr:col>35</xdr:col>
      <xdr:colOff>112712</xdr:colOff>
      <xdr:row>8</xdr:row>
      <xdr:rowOff>11112</xdr:rowOff>
    </xdr:to>
    <xdr:pic>
      <xdr:nvPicPr>
        <xdr:cNvPr id="21" name="Picture 20" descr="PT_TAB1BII_1">
          <a:extLst>
            <a:ext uri="{FF2B5EF4-FFF2-40B4-BE49-F238E27FC236}">
              <a16:creationId xmlns:a16="http://schemas.microsoft.com/office/drawing/2014/main" id="{0B9692EA-651C-47DC-BF15-D886A4DC5F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335000" y="1533525"/>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25</xdr:col>
      <xdr:colOff>0</xdr:colOff>
      <xdr:row>8</xdr:row>
      <xdr:rowOff>0</xdr:rowOff>
    </xdr:from>
    <xdr:ext cx="82550" cy="6350"/>
    <xdr:pic>
      <xdr:nvPicPr>
        <xdr:cNvPr id="22" name="Picture 17" descr="PT_TAB1LIX_1">
          <a:extLst>
            <a:ext uri="{FF2B5EF4-FFF2-40B4-BE49-F238E27FC236}">
              <a16:creationId xmlns:a16="http://schemas.microsoft.com/office/drawing/2014/main" id="{ED6406DC-DA97-40A1-8FC6-595DB08F21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64125" y="1533525"/>
          <a:ext cx="825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8</xdr:row>
      <xdr:rowOff>0</xdr:rowOff>
    </xdr:from>
    <xdr:ext cx="101600" cy="6350"/>
    <xdr:pic>
      <xdr:nvPicPr>
        <xdr:cNvPr id="23" name="Picture 18" descr="PT_TAB1BII_1">
          <a:extLst>
            <a:ext uri="{FF2B5EF4-FFF2-40B4-BE49-F238E27FC236}">
              <a16:creationId xmlns:a16="http://schemas.microsoft.com/office/drawing/2014/main" id="{DF412695-6058-4B3D-9828-D42193E2CE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764125" y="1533525"/>
          <a:ext cx="10160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8</xdr:row>
      <xdr:rowOff>0</xdr:rowOff>
    </xdr:from>
    <xdr:ext cx="107950" cy="6350"/>
    <xdr:pic>
      <xdr:nvPicPr>
        <xdr:cNvPr id="24" name="Picture 19" descr="PT_TAB1BII_1">
          <a:extLst>
            <a:ext uri="{FF2B5EF4-FFF2-40B4-BE49-F238E27FC236}">
              <a16:creationId xmlns:a16="http://schemas.microsoft.com/office/drawing/2014/main" id="{C80F523A-73F3-4EED-8382-559CDF1682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97775" y="1533525"/>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8</xdr:row>
      <xdr:rowOff>0</xdr:rowOff>
    </xdr:from>
    <xdr:ext cx="107950" cy="6350"/>
    <xdr:pic>
      <xdr:nvPicPr>
        <xdr:cNvPr id="25" name="Picture 20" descr="PT_TAB1BII_1">
          <a:extLst>
            <a:ext uri="{FF2B5EF4-FFF2-40B4-BE49-F238E27FC236}">
              <a16:creationId xmlns:a16="http://schemas.microsoft.com/office/drawing/2014/main" id="{35D89E58-F36B-434D-B6C8-875E21D387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97775" y="1533525"/>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8</xdr:row>
      <xdr:rowOff>0</xdr:rowOff>
    </xdr:from>
    <xdr:to>
      <xdr:col>0</xdr:col>
      <xdr:colOff>87312</xdr:colOff>
      <xdr:row>8</xdr:row>
      <xdr:rowOff>11112</xdr:rowOff>
    </xdr:to>
    <xdr:pic>
      <xdr:nvPicPr>
        <xdr:cNvPr id="2" name="Picture 1" descr="PT_TAB1LIX_1">
          <a:extLst>
            <a:ext uri="{FF2B5EF4-FFF2-40B4-BE49-F238E27FC236}">
              <a16:creationId xmlns:a16="http://schemas.microsoft.com/office/drawing/2014/main" id="{BD0EEB42-645E-429F-B5F1-C58852CA0F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33525"/>
          <a:ext cx="825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8</xdr:row>
      <xdr:rowOff>0</xdr:rowOff>
    </xdr:from>
    <xdr:to>
      <xdr:col>0</xdr:col>
      <xdr:colOff>106362</xdr:colOff>
      <xdr:row>8</xdr:row>
      <xdr:rowOff>11112</xdr:rowOff>
    </xdr:to>
    <xdr:pic>
      <xdr:nvPicPr>
        <xdr:cNvPr id="3" name="Picture 2" descr="PT_TAB1BII_1">
          <a:extLst>
            <a:ext uri="{FF2B5EF4-FFF2-40B4-BE49-F238E27FC236}">
              <a16:creationId xmlns:a16="http://schemas.microsoft.com/office/drawing/2014/main" id="{6DDBAD8A-9678-49B2-AA38-A5CC976A62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533525"/>
          <a:ext cx="10160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xdr:row>
      <xdr:rowOff>0</xdr:rowOff>
    </xdr:from>
    <xdr:to>
      <xdr:col>3</xdr:col>
      <xdr:colOff>106362</xdr:colOff>
      <xdr:row>8</xdr:row>
      <xdr:rowOff>11112</xdr:rowOff>
    </xdr:to>
    <xdr:pic>
      <xdr:nvPicPr>
        <xdr:cNvPr id="4" name="Picture 3" descr="PT_TAB1BII_1">
          <a:extLst>
            <a:ext uri="{FF2B5EF4-FFF2-40B4-BE49-F238E27FC236}">
              <a16:creationId xmlns:a16="http://schemas.microsoft.com/office/drawing/2014/main" id="{F4DB16AD-8473-47BE-A786-35AF7F4A43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19275" y="1533525"/>
          <a:ext cx="10160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8</xdr:row>
      <xdr:rowOff>0</xdr:rowOff>
    </xdr:from>
    <xdr:to>
      <xdr:col>1</xdr:col>
      <xdr:colOff>112712</xdr:colOff>
      <xdr:row>8</xdr:row>
      <xdr:rowOff>11112</xdr:rowOff>
    </xdr:to>
    <xdr:pic>
      <xdr:nvPicPr>
        <xdr:cNvPr id="5" name="Picture 4" descr="PT_TAB1BII_1">
          <a:extLst>
            <a:ext uri="{FF2B5EF4-FFF2-40B4-BE49-F238E27FC236}">
              <a16:creationId xmlns:a16="http://schemas.microsoft.com/office/drawing/2014/main" id="{0D06BA31-D424-4708-9C48-B64BF4E195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66750" y="1533525"/>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8</xdr:row>
      <xdr:rowOff>0</xdr:rowOff>
    </xdr:from>
    <xdr:to>
      <xdr:col>4</xdr:col>
      <xdr:colOff>112712</xdr:colOff>
      <xdr:row>8</xdr:row>
      <xdr:rowOff>11112</xdr:rowOff>
    </xdr:to>
    <xdr:pic>
      <xdr:nvPicPr>
        <xdr:cNvPr id="6" name="Picture 5" descr="PT_TAB1BII_1">
          <a:extLst>
            <a:ext uri="{FF2B5EF4-FFF2-40B4-BE49-F238E27FC236}">
              <a16:creationId xmlns:a16="http://schemas.microsoft.com/office/drawing/2014/main" id="{915FB0AE-4BB8-4CDB-96BD-1E01C2A509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38575" y="1533525"/>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8</xdr:row>
      <xdr:rowOff>0</xdr:rowOff>
    </xdr:from>
    <xdr:to>
      <xdr:col>5</xdr:col>
      <xdr:colOff>112712</xdr:colOff>
      <xdr:row>8</xdr:row>
      <xdr:rowOff>11112</xdr:rowOff>
    </xdr:to>
    <xdr:pic>
      <xdr:nvPicPr>
        <xdr:cNvPr id="7" name="Picture 6" descr="PT_TAB1BII_1">
          <a:extLst>
            <a:ext uri="{FF2B5EF4-FFF2-40B4-BE49-F238E27FC236}">
              <a16:creationId xmlns:a16="http://schemas.microsoft.com/office/drawing/2014/main" id="{EC512D46-D291-459E-A1D8-5099095145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9575" y="1533525"/>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8</xdr:row>
      <xdr:rowOff>0</xdr:rowOff>
    </xdr:from>
    <xdr:to>
      <xdr:col>1</xdr:col>
      <xdr:colOff>112712</xdr:colOff>
      <xdr:row>8</xdr:row>
      <xdr:rowOff>11112</xdr:rowOff>
    </xdr:to>
    <xdr:pic>
      <xdr:nvPicPr>
        <xdr:cNvPr id="8" name="Picture 7" descr="PT_TAB1BII_1">
          <a:extLst>
            <a:ext uri="{FF2B5EF4-FFF2-40B4-BE49-F238E27FC236}">
              <a16:creationId xmlns:a16="http://schemas.microsoft.com/office/drawing/2014/main" id="{5FCEA278-5868-49C3-9AB0-F28C7E0B1E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66750" y="1533525"/>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8</xdr:row>
      <xdr:rowOff>0</xdr:rowOff>
    </xdr:from>
    <xdr:to>
      <xdr:col>5</xdr:col>
      <xdr:colOff>112712</xdr:colOff>
      <xdr:row>8</xdr:row>
      <xdr:rowOff>11112</xdr:rowOff>
    </xdr:to>
    <xdr:pic>
      <xdr:nvPicPr>
        <xdr:cNvPr id="9" name="Picture 8" descr="PT_TAB1BII_1">
          <a:extLst>
            <a:ext uri="{FF2B5EF4-FFF2-40B4-BE49-F238E27FC236}">
              <a16:creationId xmlns:a16="http://schemas.microsoft.com/office/drawing/2014/main" id="{59220F21-2631-4A76-8539-6E85E6DE92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9575" y="1533525"/>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26</xdr:row>
      <xdr:rowOff>0</xdr:rowOff>
    </xdr:from>
    <xdr:to>
      <xdr:col>0</xdr:col>
      <xdr:colOff>87312</xdr:colOff>
      <xdr:row>26</xdr:row>
      <xdr:rowOff>17462</xdr:rowOff>
    </xdr:to>
    <xdr:pic>
      <xdr:nvPicPr>
        <xdr:cNvPr id="10" name="Picture 9" descr="PT_TAB1LIX_1">
          <a:extLst>
            <a:ext uri="{FF2B5EF4-FFF2-40B4-BE49-F238E27FC236}">
              <a16:creationId xmlns:a16="http://schemas.microsoft.com/office/drawing/2014/main" id="{25DCD0C0-A835-4C5D-9BDB-CE2A574770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676775"/>
          <a:ext cx="825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26</xdr:row>
      <xdr:rowOff>0</xdr:rowOff>
    </xdr:from>
    <xdr:to>
      <xdr:col>0</xdr:col>
      <xdr:colOff>106362</xdr:colOff>
      <xdr:row>26</xdr:row>
      <xdr:rowOff>17462</xdr:rowOff>
    </xdr:to>
    <xdr:pic>
      <xdr:nvPicPr>
        <xdr:cNvPr id="11" name="Picture 10" descr="PT_TAB1BII_1">
          <a:extLst>
            <a:ext uri="{FF2B5EF4-FFF2-40B4-BE49-F238E27FC236}">
              <a16:creationId xmlns:a16="http://schemas.microsoft.com/office/drawing/2014/main" id="{592AB613-4BA5-488F-AA7D-21282D487B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676775"/>
          <a:ext cx="1016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26</xdr:row>
      <xdr:rowOff>0</xdr:rowOff>
    </xdr:from>
    <xdr:to>
      <xdr:col>3</xdr:col>
      <xdr:colOff>106362</xdr:colOff>
      <xdr:row>26</xdr:row>
      <xdr:rowOff>17462</xdr:rowOff>
    </xdr:to>
    <xdr:pic>
      <xdr:nvPicPr>
        <xdr:cNvPr id="12" name="Picture 11" descr="PT_TAB1BII_1">
          <a:extLst>
            <a:ext uri="{FF2B5EF4-FFF2-40B4-BE49-F238E27FC236}">
              <a16:creationId xmlns:a16="http://schemas.microsoft.com/office/drawing/2014/main" id="{D7701C5C-246F-4762-8A18-B97587DD6A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19275" y="4676775"/>
          <a:ext cx="1016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26</xdr:row>
      <xdr:rowOff>0</xdr:rowOff>
    </xdr:from>
    <xdr:to>
      <xdr:col>1</xdr:col>
      <xdr:colOff>112712</xdr:colOff>
      <xdr:row>26</xdr:row>
      <xdr:rowOff>17462</xdr:rowOff>
    </xdr:to>
    <xdr:pic>
      <xdr:nvPicPr>
        <xdr:cNvPr id="13" name="Picture 12" descr="PT_TAB1BII_1">
          <a:extLst>
            <a:ext uri="{FF2B5EF4-FFF2-40B4-BE49-F238E27FC236}">
              <a16:creationId xmlns:a16="http://schemas.microsoft.com/office/drawing/2014/main" id="{21689871-EBB7-4FC2-A3CD-80579343DC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66750" y="4676775"/>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26</xdr:row>
      <xdr:rowOff>0</xdr:rowOff>
    </xdr:from>
    <xdr:to>
      <xdr:col>4</xdr:col>
      <xdr:colOff>112712</xdr:colOff>
      <xdr:row>26</xdr:row>
      <xdr:rowOff>17462</xdr:rowOff>
    </xdr:to>
    <xdr:pic>
      <xdr:nvPicPr>
        <xdr:cNvPr id="14" name="Picture 13" descr="PT_TAB1BII_1">
          <a:extLst>
            <a:ext uri="{FF2B5EF4-FFF2-40B4-BE49-F238E27FC236}">
              <a16:creationId xmlns:a16="http://schemas.microsoft.com/office/drawing/2014/main" id="{EDAD85DA-A487-434D-9B87-C00E75C33D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38575" y="4676775"/>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26</xdr:row>
      <xdr:rowOff>0</xdr:rowOff>
    </xdr:from>
    <xdr:to>
      <xdr:col>5</xdr:col>
      <xdr:colOff>112712</xdr:colOff>
      <xdr:row>26</xdr:row>
      <xdr:rowOff>17462</xdr:rowOff>
    </xdr:to>
    <xdr:pic>
      <xdr:nvPicPr>
        <xdr:cNvPr id="15" name="Picture 14" descr="PT_TAB1BII_1">
          <a:extLst>
            <a:ext uri="{FF2B5EF4-FFF2-40B4-BE49-F238E27FC236}">
              <a16:creationId xmlns:a16="http://schemas.microsoft.com/office/drawing/2014/main" id="{7DEC133A-9EDE-490E-A404-2C59D0C3FF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9575" y="4676775"/>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26</xdr:row>
      <xdr:rowOff>0</xdr:rowOff>
    </xdr:from>
    <xdr:to>
      <xdr:col>1</xdr:col>
      <xdr:colOff>112712</xdr:colOff>
      <xdr:row>26</xdr:row>
      <xdr:rowOff>17462</xdr:rowOff>
    </xdr:to>
    <xdr:pic>
      <xdr:nvPicPr>
        <xdr:cNvPr id="16" name="Picture 15" descr="PT_TAB1BII_1">
          <a:extLst>
            <a:ext uri="{FF2B5EF4-FFF2-40B4-BE49-F238E27FC236}">
              <a16:creationId xmlns:a16="http://schemas.microsoft.com/office/drawing/2014/main" id="{153B7166-2057-4535-93BB-144ADB0B3F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66750" y="4676775"/>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26</xdr:row>
      <xdr:rowOff>0</xdr:rowOff>
    </xdr:from>
    <xdr:to>
      <xdr:col>5</xdr:col>
      <xdr:colOff>112712</xdr:colOff>
      <xdr:row>26</xdr:row>
      <xdr:rowOff>17462</xdr:rowOff>
    </xdr:to>
    <xdr:pic>
      <xdr:nvPicPr>
        <xdr:cNvPr id="17" name="Picture 16" descr="PT_TAB1BII_1">
          <a:extLst>
            <a:ext uri="{FF2B5EF4-FFF2-40B4-BE49-F238E27FC236}">
              <a16:creationId xmlns:a16="http://schemas.microsoft.com/office/drawing/2014/main" id="{80CF67B3-EA38-4D14-B6CE-6C73747E2B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9575" y="4676775"/>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8</xdr:row>
      <xdr:rowOff>0</xdr:rowOff>
    </xdr:from>
    <xdr:to>
      <xdr:col>35</xdr:col>
      <xdr:colOff>87312</xdr:colOff>
      <xdr:row>8</xdr:row>
      <xdr:rowOff>11112</xdr:rowOff>
    </xdr:to>
    <xdr:pic>
      <xdr:nvPicPr>
        <xdr:cNvPr id="18" name="Picture 17" descr="PT_TAB1LIX_1">
          <a:extLst>
            <a:ext uri="{FF2B5EF4-FFF2-40B4-BE49-F238E27FC236}">
              <a16:creationId xmlns:a16="http://schemas.microsoft.com/office/drawing/2014/main" id="{7BBF3DE1-79A7-41E4-9D03-43A9061BEC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0825" y="1533525"/>
          <a:ext cx="825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8</xdr:row>
      <xdr:rowOff>0</xdr:rowOff>
    </xdr:from>
    <xdr:to>
      <xdr:col>35</xdr:col>
      <xdr:colOff>106362</xdr:colOff>
      <xdr:row>8</xdr:row>
      <xdr:rowOff>11112</xdr:rowOff>
    </xdr:to>
    <xdr:pic>
      <xdr:nvPicPr>
        <xdr:cNvPr id="19" name="Picture 18" descr="PT_TAB1BII_1">
          <a:extLst>
            <a:ext uri="{FF2B5EF4-FFF2-40B4-BE49-F238E27FC236}">
              <a16:creationId xmlns:a16="http://schemas.microsoft.com/office/drawing/2014/main" id="{C9C0FEB2-8408-4389-8887-BD2E86399D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410825" y="1533525"/>
          <a:ext cx="10160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17</xdr:col>
      <xdr:colOff>0</xdr:colOff>
      <xdr:row>8</xdr:row>
      <xdr:rowOff>0</xdr:rowOff>
    </xdr:from>
    <xdr:to>
      <xdr:col>35</xdr:col>
      <xdr:colOff>112712</xdr:colOff>
      <xdr:row>8</xdr:row>
      <xdr:rowOff>11112</xdr:rowOff>
    </xdr:to>
    <xdr:pic>
      <xdr:nvPicPr>
        <xdr:cNvPr id="20" name="Picture 19" descr="PT_TAB1BII_1">
          <a:extLst>
            <a:ext uri="{FF2B5EF4-FFF2-40B4-BE49-F238E27FC236}">
              <a16:creationId xmlns:a16="http://schemas.microsoft.com/office/drawing/2014/main" id="{D83D64AF-D7E0-4C3C-B3CF-E87457CE5F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335000" y="1533525"/>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17</xdr:col>
      <xdr:colOff>0</xdr:colOff>
      <xdr:row>8</xdr:row>
      <xdr:rowOff>0</xdr:rowOff>
    </xdr:from>
    <xdr:to>
      <xdr:col>35</xdr:col>
      <xdr:colOff>112712</xdr:colOff>
      <xdr:row>8</xdr:row>
      <xdr:rowOff>11112</xdr:rowOff>
    </xdr:to>
    <xdr:pic>
      <xdr:nvPicPr>
        <xdr:cNvPr id="21" name="Picture 20" descr="PT_TAB1BII_1">
          <a:extLst>
            <a:ext uri="{FF2B5EF4-FFF2-40B4-BE49-F238E27FC236}">
              <a16:creationId xmlns:a16="http://schemas.microsoft.com/office/drawing/2014/main" id="{8B0D7ABC-D7A7-4BB7-A9D8-99E0F2424A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335000" y="1533525"/>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25</xdr:col>
      <xdr:colOff>0</xdr:colOff>
      <xdr:row>8</xdr:row>
      <xdr:rowOff>0</xdr:rowOff>
    </xdr:from>
    <xdr:ext cx="82550" cy="6350"/>
    <xdr:pic>
      <xdr:nvPicPr>
        <xdr:cNvPr id="22" name="Picture 17" descr="PT_TAB1LIX_1">
          <a:extLst>
            <a:ext uri="{FF2B5EF4-FFF2-40B4-BE49-F238E27FC236}">
              <a16:creationId xmlns:a16="http://schemas.microsoft.com/office/drawing/2014/main" id="{662471F1-1707-4CA8-9C53-22FBF8325B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64125" y="1533525"/>
          <a:ext cx="825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8</xdr:row>
      <xdr:rowOff>0</xdr:rowOff>
    </xdr:from>
    <xdr:ext cx="101600" cy="6350"/>
    <xdr:pic>
      <xdr:nvPicPr>
        <xdr:cNvPr id="23" name="Picture 18" descr="PT_TAB1BII_1">
          <a:extLst>
            <a:ext uri="{FF2B5EF4-FFF2-40B4-BE49-F238E27FC236}">
              <a16:creationId xmlns:a16="http://schemas.microsoft.com/office/drawing/2014/main" id="{42242BCF-523C-4AEA-AA5C-EAF3EEA095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764125" y="1533525"/>
          <a:ext cx="10160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8</xdr:row>
      <xdr:rowOff>0</xdr:rowOff>
    </xdr:from>
    <xdr:ext cx="107950" cy="6350"/>
    <xdr:pic>
      <xdr:nvPicPr>
        <xdr:cNvPr id="24" name="Picture 19" descr="PT_TAB1BII_1">
          <a:extLst>
            <a:ext uri="{FF2B5EF4-FFF2-40B4-BE49-F238E27FC236}">
              <a16:creationId xmlns:a16="http://schemas.microsoft.com/office/drawing/2014/main" id="{3D4D05AF-82B8-4AE9-97F0-E1295ED711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97775" y="1533525"/>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8</xdr:row>
      <xdr:rowOff>0</xdr:rowOff>
    </xdr:from>
    <xdr:ext cx="107950" cy="6350"/>
    <xdr:pic>
      <xdr:nvPicPr>
        <xdr:cNvPr id="25" name="Picture 20" descr="PT_TAB1BII_1">
          <a:extLst>
            <a:ext uri="{FF2B5EF4-FFF2-40B4-BE49-F238E27FC236}">
              <a16:creationId xmlns:a16="http://schemas.microsoft.com/office/drawing/2014/main" id="{22AF819B-40DF-4EE0-81B3-223B007B32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97775" y="1533525"/>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17</xdr:row>
      <xdr:rowOff>0</xdr:rowOff>
    </xdr:from>
    <xdr:to>
      <xdr:col>0</xdr:col>
      <xdr:colOff>82550</xdr:colOff>
      <xdr:row>17</xdr:row>
      <xdr:rowOff>6350</xdr:rowOff>
    </xdr:to>
    <xdr:pic>
      <xdr:nvPicPr>
        <xdr:cNvPr id="18242" name="Picture 1" descr="PT_TAB1LIX_1">
          <a:extLst>
            <a:ext uri="{FF2B5EF4-FFF2-40B4-BE49-F238E27FC236}">
              <a16:creationId xmlns:a16="http://schemas.microsoft.com/office/drawing/2014/main" id="{698FD142-3F83-23C6-D7C8-83F47AC07F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76550"/>
          <a:ext cx="825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17</xdr:row>
      <xdr:rowOff>0</xdr:rowOff>
    </xdr:from>
    <xdr:to>
      <xdr:col>0</xdr:col>
      <xdr:colOff>107950</xdr:colOff>
      <xdr:row>17</xdr:row>
      <xdr:rowOff>6350</xdr:rowOff>
    </xdr:to>
    <xdr:pic>
      <xdr:nvPicPr>
        <xdr:cNvPr id="18243" name="Picture 2" descr="PT_TAB1BII_1">
          <a:extLst>
            <a:ext uri="{FF2B5EF4-FFF2-40B4-BE49-F238E27FC236}">
              <a16:creationId xmlns:a16="http://schemas.microsoft.com/office/drawing/2014/main" id="{C2DD195A-80FC-CCD9-EDB5-B5168287D2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87655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17</xdr:row>
      <xdr:rowOff>0</xdr:rowOff>
    </xdr:from>
    <xdr:to>
      <xdr:col>3</xdr:col>
      <xdr:colOff>107950</xdr:colOff>
      <xdr:row>17</xdr:row>
      <xdr:rowOff>6350</xdr:rowOff>
    </xdr:to>
    <xdr:pic>
      <xdr:nvPicPr>
        <xdr:cNvPr id="18244" name="Picture 3" descr="PT_TAB1BII_1">
          <a:extLst>
            <a:ext uri="{FF2B5EF4-FFF2-40B4-BE49-F238E27FC236}">
              <a16:creationId xmlns:a16="http://schemas.microsoft.com/office/drawing/2014/main" id="{BDFA51FC-D665-379E-A2D0-A3E2ACB9D6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73200" y="287655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17</xdr:row>
      <xdr:rowOff>0</xdr:rowOff>
    </xdr:from>
    <xdr:to>
      <xdr:col>1</xdr:col>
      <xdr:colOff>107950</xdr:colOff>
      <xdr:row>17</xdr:row>
      <xdr:rowOff>6350</xdr:rowOff>
    </xdr:to>
    <xdr:pic>
      <xdr:nvPicPr>
        <xdr:cNvPr id="18245" name="Picture 4" descr="PT_TAB1BII_1">
          <a:extLst>
            <a:ext uri="{FF2B5EF4-FFF2-40B4-BE49-F238E27FC236}">
              <a16:creationId xmlns:a16="http://schemas.microsoft.com/office/drawing/2014/main" id="{3BDAD452-C46F-E634-A369-00791629AA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 y="287655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17</xdr:row>
      <xdr:rowOff>0</xdr:rowOff>
    </xdr:from>
    <xdr:to>
      <xdr:col>4</xdr:col>
      <xdr:colOff>107950</xdr:colOff>
      <xdr:row>17</xdr:row>
      <xdr:rowOff>6350</xdr:rowOff>
    </xdr:to>
    <xdr:pic>
      <xdr:nvPicPr>
        <xdr:cNvPr id="18246" name="Picture 5" descr="PT_TAB1BII_1">
          <a:extLst>
            <a:ext uri="{FF2B5EF4-FFF2-40B4-BE49-F238E27FC236}">
              <a16:creationId xmlns:a16="http://schemas.microsoft.com/office/drawing/2014/main" id="{A9057BDE-EA59-424A-362D-DC8978C6E1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79800" y="287655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17</xdr:row>
      <xdr:rowOff>0</xdr:rowOff>
    </xdr:from>
    <xdr:to>
      <xdr:col>5</xdr:col>
      <xdr:colOff>107950</xdr:colOff>
      <xdr:row>17</xdr:row>
      <xdr:rowOff>6350</xdr:rowOff>
    </xdr:to>
    <xdr:pic>
      <xdr:nvPicPr>
        <xdr:cNvPr id="18247" name="Picture 6" descr="PT_TAB1BII_1">
          <a:extLst>
            <a:ext uri="{FF2B5EF4-FFF2-40B4-BE49-F238E27FC236}">
              <a16:creationId xmlns:a16="http://schemas.microsoft.com/office/drawing/2014/main" id="{7603E2FD-5F04-54E9-B5AB-D030C04D35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37000" y="287655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17</xdr:row>
      <xdr:rowOff>0</xdr:rowOff>
    </xdr:from>
    <xdr:to>
      <xdr:col>1</xdr:col>
      <xdr:colOff>107950</xdr:colOff>
      <xdr:row>17</xdr:row>
      <xdr:rowOff>6350</xdr:rowOff>
    </xdr:to>
    <xdr:pic>
      <xdr:nvPicPr>
        <xdr:cNvPr id="18248" name="Picture 8" descr="PT_TAB1BII_1">
          <a:extLst>
            <a:ext uri="{FF2B5EF4-FFF2-40B4-BE49-F238E27FC236}">
              <a16:creationId xmlns:a16="http://schemas.microsoft.com/office/drawing/2014/main" id="{36923174-99E3-A3C5-514A-CC34D274C6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 y="287655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17</xdr:row>
      <xdr:rowOff>0</xdr:rowOff>
    </xdr:from>
    <xdr:to>
      <xdr:col>5</xdr:col>
      <xdr:colOff>107950</xdr:colOff>
      <xdr:row>17</xdr:row>
      <xdr:rowOff>6350</xdr:rowOff>
    </xdr:to>
    <xdr:pic>
      <xdr:nvPicPr>
        <xdr:cNvPr id="18249" name="Picture 9" descr="PT_TAB1BII_1">
          <a:extLst>
            <a:ext uri="{FF2B5EF4-FFF2-40B4-BE49-F238E27FC236}">
              <a16:creationId xmlns:a16="http://schemas.microsoft.com/office/drawing/2014/main" id="{EB9E83BA-3E93-B398-8137-E399FD44E9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37000" y="287655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46</xdr:row>
      <xdr:rowOff>0</xdr:rowOff>
    </xdr:from>
    <xdr:to>
      <xdr:col>0</xdr:col>
      <xdr:colOff>82550</xdr:colOff>
      <xdr:row>46</xdr:row>
      <xdr:rowOff>6350</xdr:rowOff>
    </xdr:to>
    <xdr:pic>
      <xdr:nvPicPr>
        <xdr:cNvPr id="18250" name="Picture 10" descr="PT_TAB1LIX_1">
          <a:extLst>
            <a:ext uri="{FF2B5EF4-FFF2-40B4-BE49-F238E27FC236}">
              <a16:creationId xmlns:a16="http://schemas.microsoft.com/office/drawing/2014/main" id="{9F49F6E0-F671-E0CB-95BA-743986B5AE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753350"/>
          <a:ext cx="825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46</xdr:row>
      <xdr:rowOff>0</xdr:rowOff>
    </xdr:from>
    <xdr:to>
      <xdr:col>0</xdr:col>
      <xdr:colOff>107950</xdr:colOff>
      <xdr:row>46</xdr:row>
      <xdr:rowOff>6350</xdr:rowOff>
    </xdr:to>
    <xdr:pic>
      <xdr:nvPicPr>
        <xdr:cNvPr id="18251" name="Picture 11" descr="PT_TAB1BII_1">
          <a:extLst>
            <a:ext uri="{FF2B5EF4-FFF2-40B4-BE49-F238E27FC236}">
              <a16:creationId xmlns:a16="http://schemas.microsoft.com/office/drawing/2014/main" id="{3D46CE6F-51CA-25C7-2550-4ADB3BFFBA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775335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46</xdr:row>
      <xdr:rowOff>0</xdr:rowOff>
    </xdr:from>
    <xdr:to>
      <xdr:col>3</xdr:col>
      <xdr:colOff>107950</xdr:colOff>
      <xdr:row>46</xdr:row>
      <xdr:rowOff>6350</xdr:rowOff>
    </xdr:to>
    <xdr:pic>
      <xdr:nvPicPr>
        <xdr:cNvPr id="18252" name="Picture 12" descr="PT_TAB1BII_1">
          <a:extLst>
            <a:ext uri="{FF2B5EF4-FFF2-40B4-BE49-F238E27FC236}">
              <a16:creationId xmlns:a16="http://schemas.microsoft.com/office/drawing/2014/main" id="{383D4CED-8DE9-8A87-DD14-3F8750D1D5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73200" y="775335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46</xdr:row>
      <xdr:rowOff>0</xdr:rowOff>
    </xdr:from>
    <xdr:to>
      <xdr:col>1</xdr:col>
      <xdr:colOff>107950</xdr:colOff>
      <xdr:row>46</xdr:row>
      <xdr:rowOff>6350</xdr:rowOff>
    </xdr:to>
    <xdr:pic>
      <xdr:nvPicPr>
        <xdr:cNvPr id="18253" name="Picture 13" descr="PT_TAB1BII_1">
          <a:extLst>
            <a:ext uri="{FF2B5EF4-FFF2-40B4-BE49-F238E27FC236}">
              <a16:creationId xmlns:a16="http://schemas.microsoft.com/office/drawing/2014/main" id="{00A6880D-A571-74AF-51E0-2394E1826A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 y="775335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46</xdr:row>
      <xdr:rowOff>0</xdr:rowOff>
    </xdr:from>
    <xdr:to>
      <xdr:col>4</xdr:col>
      <xdr:colOff>107950</xdr:colOff>
      <xdr:row>46</xdr:row>
      <xdr:rowOff>6350</xdr:rowOff>
    </xdr:to>
    <xdr:pic>
      <xdr:nvPicPr>
        <xdr:cNvPr id="18254" name="Picture 14" descr="PT_TAB1BII_1">
          <a:extLst>
            <a:ext uri="{FF2B5EF4-FFF2-40B4-BE49-F238E27FC236}">
              <a16:creationId xmlns:a16="http://schemas.microsoft.com/office/drawing/2014/main" id="{0CB8169A-4585-B086-3FDB-657A764D27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79800" y="775335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46</xdr:row>
      <xdr:rowOff>0</xdr:rowOff>
    </xdr:from>
    <xdr:to>
      <xdr:col>5</xdr:col>
      <xdr:colOff>107950</xdr:colOff>
      <xdr:row>46</xdr:row>
      <xdr:rowOff>6350</xdr:rowOff>
    </xdr:to>
    <xdr:pic>
      <xdr:nvPicPr>
        <xdr:cNvPr id="18255" name="Picture 15" descr="PT_TAB1BII_1">
          <a:extLst>
            <a:ext uri="{FF2B5EF4-FFF2-40B4-BE49-F238E27FC236}">
              <a16:creationId xmlns:a16="http://schemas.microsoft.com/office/drawing/2014/main" id="{E225A54E-5C73-3568-78FA-AF930691DD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37000" y="775335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46</xdr:row>
      <xdr:rowOff>0</xdr:rowOff>
    </xdr:from>
    <xdr:to>
      <xdr:col>1</xdr:col>
      <xdr:colOff>107950</xdr:colOff>
      <xdr:row>46</xdr:row>
      <xdr:rowOff>6350</xdr:rowOff>
    </xdr:to>
    <xdr:pic>
      <xdr:nvPicPr>
        <xdr:cNvPr id="18256" name="Picture 16" descr="PT_TAB1BII_1">
          <a:extLst>
            <a:ext uri="{FF2B5EF4-FFF2-40B4-BE49-F238E27FC236}">
              <a16:creationId xmlns:a16="http://schemas.microsoft.com/office/drawing/2014/main" id="{CD1C6468-D2D3-6C6B-D593-205D65E845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 y="775335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46</xdr:row>
      <xdr:rowOff>0</xdr:rowOff>
    </xdr:from>
    <xdr:to>
      <xdr:col>5</xdr:col>
      <xdr:colOff>107950</xdr:colOff>
      <xdr:row>46</xdr:row>
      <xdr:rowOff>6350</xdr:rowOff>
    </xdr:to>
    <xdr:pic>
      <xdr:nvPicPr>
        <xdr:cNvPr id="18257" name="Picture 17" descr="PT_TAB1BII_1">
          <a:extLst>
            <a:ext uri="{FF2B5EF4-FFF2-40B4-BE49-F238E27FC236}">
              <a16:creationId xmlns:a16="http://schemas.microsoft.com/office/drawing/2014/main" id="{D124673A-9EF8-B679-52FC-CDB2A69ECE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37000" y="775335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6</xdr:row>
      <xdr:rowOff>0</xdr:rowOff>
    </xdr:from>
    <xdr:to>
      <xdr:col>0</xdr:col>
      <xdr:colOff>82550</xdr:colOff>
      <xdr:row>6</xdr:row>
      <xdr:rowOff>6350</xdr:rowOff>
    </xdr:to>
    <xdr:pic>
      <xdr:nvPicPr>
        <xdr:cNvPr id="19267" name="Picture 1" descr="PT_TAB1LIX_1">
          <a:extLst>
            <a:ext uri="{FF2B5EF4-FFF2-40B4-BE49-F238E27FC236}">
              <a16:creationId xmlns:a16="http://schemas.microsoft.com/office/drawing/2014/main" id="{35A97B51-F1D7-DF19-B58B-63B77D16FC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79500"/>
          <a:ext cx="825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107950</xdr:colOff>
      <xdr:row>6</xdr:row>
      <xdr:rowOff>6350</xdr:rowOff>
    </xdr:to>
    <xdr:pic>
      <xdr:nvPicPr>
        <xdr:cNvPr id="19268" name="Picture 2" descr="PT_TAB1BII_1">
          <a:extLst>
            <a:ext uri="{FF2B5EF4-FFF2-40B4-BE49-F238E27FC236}">
              <a16:creationId xmlns:a16="http://schemas.microsoft.com/office/drawing/2014/main" id="{7C09F7A1-5C20-8439-DEF0-7E3F92E08B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795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6</xdr:row>
      <xdr:rowOff>0</xdr:rowOff>
    </xdr:from>
    <xdr:to>
      <xdr:col>3</xdr:col>
      <xdr:colOff>107950</xdr:colOff>
      <xdr:row>6</xdr:row>
      <xdr:rowOff>6350</xdr:rowOff>
    </xdr:to>
    <xdr:pic>
      <xdr:nvPicPr>
        <xdr:cNvPr id="19269" name="Picture 3" descr="PT_TAB1BII_1">
          <a:extLst>
            <a:ext uri="{FF2B5EF4-FFF2-40B4-BE49-F238E27FC236}">
              <a16:creationId xmlns:a16="http://schemas.microsoft.com/office/drawing/2014/main" id="{238ADEF2-58CA-A733-3647-C09703DFA2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73200" y="10795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xdr:row>
      <xdr:rowOff>0</xdr:rowOff>
    </xdr:from>
    <xdr:to>
      <xdr:col>1</xdr:col>
      <xdr:colOff>107950</xdr:colOff>
      <xdr:row>6</xdr:row>
      <xdr:rowOff>6350</xdr:rowOff>
    </xdr:to>
    <xdr:pic>
      <xdr:nvPicPr>
        <xdr:cNvPr id="19270" name="Picture 4" descr="PT_TAB1BII_1">
          <a:extLst>
            <a:ext uri="{FF2B5EF4-FFF2-40B4-BE49-F238E27FC236}">
              <a16:creationId xmlns:a16="http://schemas.microsoft.com/office/drawing/2014/main" id="{30A63B6C-CA5A-D791-A461-2FFB0842D4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 y="10795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6</xdr:row>
      <xdr:rowOff>0</xdr:rowOff>
    </xdr:from>
    <xdr:to>
      <xdr:col>4</xdr:col>
      <xdr:colOff>107950</xdr:colOff>
      <xdr:row>6</xdr:row>
      <xdr:rowOff>6350</xdr:rowOff>
    </xdr:to>
    <xdr:pic>
      <xdr:nvPicPr>
        <xdr:cNvPr id="19271" name="Picture 5" descr="PT_TAB1BII_1">
          <a:extLst>
            <a:ext uri="{FF2B5EF4-FFF2-40B4-BE49-F238E27FC236}">
              <a16:creationId xmlns:a16="http://schemas.microsoft.com/office/drawing/2014/main" id="{AA70846A-56F3-ADA6-EC04-A86D17C105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79800" y="10795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6</xdr:row>
      <xdr:rowOff>0</xdr:rowOff>
    </xdr:from>
    <xdr:to>
      <xdr:col>5</xdr:col>
      <xdr:colOff>107950</xdr:colOff>
      <xdr:row>6</xdr:row>
      <xdr:rowOff>6350</xdr:rowOff>
    </xdr:to>
    <xdr:pic>
      <xdr:nvPicPr>
        <xdr:cNvPr id="19272" name="Picture 6" descr="PT_TAB1BII_1">
          <a:extLst>
            <a:ext uri="{FF2B5EF4-FFF2-40B4-BE49-F238E27FC236}">
              <a16:creationId xmlns:a16="http://schemas.microsoft.com/office/drawing/2014/main" id="{9AD70B16-048E-9889-C88B-E0382C9971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37000" y="10795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xdr:row>
      <xdr:rowOff>0</xdr:rowOff>
    </xdr:from>
    <xdr:to>
      <xdr:col>1</xdr:col>
      <xdr:colOff>107950</xdr:colOff>
      <xdr:row>6</xdr:row>
      <xdr:rowOff>6350</xdr:rowOff>
    </xdr:to>
    <xdr:pic>
      <xdr:nvPicPr>
        <xdr:cNvPr id="19273" name="Picture 8" descr="PT_TAB1BII_1">
          <a:extLst>
            <a:ext uri="{FF2B5EF4-FFF2-40B4-BE49-F238E27FC236}">
              <a16:creationId xmlns:a16="http://schemas.microsoft.com/office/drawing/2014/main" id="{F378F6C1-0C93-D9D4-6F10-1B962E9532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 y="10795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6</xdr:row>
      <xdr:rowOff>0</xdr:rowOff>
    </xdr:from>
    <xdr:to>
      <xdr:col>5</xdr:col>
      <xdr:colOff>107950</xdr:colOff>
      <xdr:row>6</xdr:row>
      <xdr:rowOff>6350</xdr:rowOff>
    </xdr:to>
    <xdr:pic>
      <xdr:nvPicPr>
        <xdr:cNvPr id="19274" name="Picture 9" descr="PT_TAB1BII_1">
          <a:extLst>
            <a:ext uri="{FF2B5EF4-FFF2-40B4-BE49-F238E27FC236}">
              <a16:creationId xmlns:a16="http://schemas.microsoft.com/office/drawing/2014/main" id="{EC299EAB-0681-65C5-905D-C3344FF165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37000" y="10795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32</xdr:row>
      <xdr:rowOff>0</xdr:rowOff>
    </xdr:from>
    <xdr:to>
      <xdr:col>0</xdr:col>
      <xdr:colOff>82550</xdr:colOff>
      <xdr:row>32</xdr:row>
      <xdr:rowOff>12700</xdr:rowOff>
    </xdr:to>
    <xdr:pic>
      <xdr:nvPicPr>
        <xdr:cNvPr id="19275" name="Picture 10" descr="PT_TAB1LIX_1">
          <a:extLst>
            <a:ext uri="{FF2B5EF4-FFF2-40B4-BE49-F238E27FC236}">
              <a16:creationId xmlns:a16="http://schemas.microsoft.com/office/drawing/2014/main" id="{283C6C31-42CD-E258-FA37-6C701DC019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473700"/>
          <a:ext cx="825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32</xdr:row>
      <xdr:rowOff>0</xdr:rowOff>
    </xdr:from>
    <xdr:to>
      <xdr:col>0</xdr:col>
      <xdr:colOff>107950</xdr:colOff>
      <xdr:row>32</xdr:row>
      <xdr:rowOff>12700</xdr:rowOff>
    </xdr:to>
    <xdr:pic>
      <xdr:nvPicPr>
        <xdr:cNvPr id="19276" name="Picture 11" descr="PT_TAB1BII_1">
          <a:extLst>
            <a:ext uri="{FF2B5EF4-FFF2-40B4-BE49-F238E27FC236}">
              <a16:creationId xmlns:a16="http://schemas.microsoft.com/office/drawing/2014/main" id="{95CD2570-ECC1-3C6F-E3F3-7D4C8F421C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4737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32</xdr:row>
      <xdr:rowOff>0</xdr:rowOff>
    </xdr:from>
    <xdr:to>
      <xdr:col>3</xdr:col>
      <xdr:colOff>107950</xdr:colOff>
      <xdr:row>32</xdr:row>
      <xdr:rowOff>12700</xdr:rowOff>
    </xdr:to>
    <xdr:pic>
      <xdr:nvPicPr>
        <xdr:cNvPr id="19277" name="Picture 12" descr="PT_TAB1BII_1">
          <a:extLst>
            <a:ext uri="{FF2B5EF4-FFF2-40B4-BE49-F238E27FC236}">
              <a16:creationId xmlns:a16="http://schemas.microsoft.com/office/drawing/2014/main" id="{5DEDAAC2-34EA-B0A8-63F2-6B061C0142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73200" y="54737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32</xdr:row>
      <xdr:rowOff>0</xdr:rowOff>
    </xdr:from>
    <xdr:to>
      <xdr:col>1</xdr:col>
      <xdr:colOff>107950</xdr:colOff>
      <xdr:row>32</xdr:row>
      <xdr:rowOff>12700</xdr:rowOff>
    </xdr:to>
    <xdr:pic>
      <xdr:nvPicPr>
        <xdr:cNvPr id="19278" name="Picture 13" descr="PT_TAB1BII_1">
          <a:extLst>
            <a:ext uri="{FF2B5EF4-FFF2-40B4-BE49-F238E27FC236}">
              <a16:creationId xmlns:a16="http://schemas.microsoft.com/office/drawing/2014/main" id="{C5B1A105-D2A6-770B-FC0C-E6F36B2653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 y="54737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32</xdr:row>
      <xdr:rowOff>0</xdr:rowOff>
    </xdr:from>
    <xdr:to>
      <xdr:col>4</xdr:col>
      <xdr:colOff>107950</xdr:colOff>
      <xdr:row>32</xdr:row>
      <xdr:rowOff>12700</xdr:rowOff>
    </xdr:to>
    <xdr:pic>
      <xdr:nvPicPr>
        <xdr:cNvPr id="19279" name="Picture 14" descr="PT_TAB1BII_1">
          <a:extLst>
            <a:ext uri="{FF2B5EF4-FFF2-40B4-BE49-F238E27FC236}">
              <a16:creationId xmlns:a16="http://schemas.microsoft.com/office/drawing/2014/main" id="{CB6D29B1-D508-52D3-FB0B-C3C7C73D23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79800" y="54737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32</xdr:row>
      <xdr:rowOff>0</xdr:rowOff>
    </xdr:from>
    <xdr:to>
      <xdr:col>5</xdr:col>
      <xdr:colOff>107950</xdr:colOff>
      <xdr:row>32</xdr:row>
      <xdr:rowOff>12700</xdr:rowOff>
    </xdr:to>
    <xdr:pic>
      <xdr:nvPicPr>
        <xdr:cNvPr id="19280" name="Picture 15" descr="PT_TAB1BII_1">
          <a:extLst>
            <a:ext uri="{FF2B5EF4-FFF2-40B4-BE49-F238E27FC236}">
              <a16:creationId xmlns:a16="http://schemas.microsoft.com/office/drawing/2014/main" id="{4B3CB7AA-F302-7B1B-79FC-55412D78F2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37000" y="54737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32</xdr:row>
      <xdr:rowOff>0</xdr:rowOff>
    </xdr:from>
    <xdr:to>
      <xdr:col>1</xdr:col>
      <xdr:colOff>107950</xdr:colOff>
      <xdr:row>32</xdr:row>
      <xdr:rowOff>12700</xdr:rowOff>
    </xdr:to>
    <xdr:pic>
      <xdr:nvPicPr>
        <xdr:cNvPr id="19281" name="Picture 16" descr="PT_TAB1BII_1">
          <a:extLst>
            <a:ext uri="{FF2B5EF4-FFF2-40B4-BE49-F238E27FC236}">
              <a16:creationId xmlns:a16="http://schemas.microsoft.com/office/drawing/2014/main" id="{32B0FBCB-E3A0-15D5-80AC-CCA56A5C7D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 y="54737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32</xdr:row>
      <xdr:rowOff>0</xdr:rowOff>
    </xdr:from>
    <xdr:to>
      <xdr:col>5</xdr:col>
      <xdr:colOff>107950</xdr:colOff>
      <xdr:row>32</xdr:row>
      <xdr:rowOff>12700</xdr:rowOff>
    </xdr:to>
    <xdr:pic>
      <xdr:nvPicPr>
        <xdr:cNvPr id="19282" name="Picture 17" descr="PT_TAB1BII_1">
          <a:extLst>
            <a:ext uri="{FF2B5EF4-FFF2-40B4-BE49-F238E27FC236}">
              <a16:creationId xmlns:a16="http://schemas.microsoft.com/office/drawing/2014/main" id="{16A6841F-3FCC-7C8E-690A-A27FA21CBB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37000" y="54737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7</xdr:row>
      <xdr:rowOff>0</xdr:rowOff>
    </xdr:from>
    <xdr:to>
      <xdr:col>0</xdr:col>
      <xdr:colOff>82550</xdr:colOff>
      <xdr:row>7</xdr:row>
      <xdr:rowOff>6350</xdr:rowOff>
    </xdr:to>
    <xdr:pic>
      <xdr:nvPicPr>
        <xdr:cNvPr id="20293" name="Picture 1" descr="PT_TAB1LIX_1">
          <a:extLst>
            <a:ext uri="{FF2B5EF4-FFF2-40B4-BE49-F238E27FC236}">
              <a16:creationId xmlns:a16="http://schemas.microsoft.com/office/drawing/2014/main" id="{A7FB0CA9-0CEF-DD76-7F9E-1B255B12EF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44600"/>
          <a:ext cx="825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7</xdr:row>
      <xdr:rowOff>0</xdr:rowOff>
    </xdr:from>
    <xdr:to>
      <xdr:col>0</xdr:col>
      <xdr:colOff>107950</xdr:colOff>
      <xdr:row>7</xdr:row>
      <xdr:rowOff>6350</xdr:rowOff>
    </xdr:to>
    <xdr:pic>
      <xdr:nvPicPr>
        <xdr:cNvPr id="20294" name="Picture 2" descr="PT_TAB1BII_1">
          <a:extLst>
            <a:ext uri="{FF2B5EF4-FFF2-40B4-BE49-F238E27FC236}">
              <a16:creationId xmlns:a16="http://schemas.microsoft.com/office/drawing/2014/main" id="{7B08CFCE-0C3B-9D58-E367-361E1886CE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2446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7</xdr:row>
      <xdr:rowOff>0</xdr:rowOff>
    </xdr:from>
    <xdr:to>
      <xdr:col>3</xdr:col>
      <xdr:colOff>107950</xdr:colOff>
      <xdr:row>7</xdr:row>
      <xdr:rowOff>6350</xdr:rowOff>
    </xdr:to>
    <xdr:pic>
      <xdr:nvPicPr>
        <xdr:cNvPr id="20295" name="Picture 3" descr="PT_TAB1BII_1">
          <a:extLst>
            <a:ext uri="{FF2B5EF4-FFF2-40B4-BE49-F238E27FC236}">
              <a16:creationId xmlns:a16="http://schemas.microsoft.com/office/drawing/2014/main" id="{891F41C7-3837-6F59-5C1B-36BF1B1347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73200" y="12446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7</xdr:row>
      <xdr:rowOff>0</xdr:rowOff>
    </xdr:from>
    <xdr:to>
      <xdr:col>1</xdr:col>
      <xdr:colOff>107950</xdr:colOff>
      <xdr:row>7</xdr:row>
      <xdr:rowOff>6350</xdr:rowOff>
    </xdr:to>
    <xdr:pic>
      <xdr:nvPicPr>
        <xdr:cNvPr id="20296" name="Picture 4" descr="PT_TAB1BII_1">
          <a:extLst>
            <a:ext uri="{FF2B5EF4-FFF2-40B4-BE49-F238E27FC236}">
              <a16:creationId xmlns:a16="http://schemas.microsoft.com/office/drawing/2014/main" id="{B1F69216-84C4-FEF2-5858-9283A409B9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 y="12446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7</xdr:row>
      <xdr:rowOff>0</xdr:rowOff>
    </xdr:from>
    <xdr:to>
      <xdr:col>4</xdr:col>
      <xdr:colOff>107950</xdr:colOff>
      <xdr:row>7</xdr:row>
      <xdr:rowOff>6350</xdr:rowOff>
    </xdr:to>
    <xdr:pic>
      <xdr:nvPicPr>
        <xdr:cNvPr id="20297" name="Picture 5" descr="PT_TAB1BII_1">
          <a:extLst>
            <a:ext uri="{FF2B5EF4-FFF2-40B4-BE49-F238E27FC236}">
              <a16:creationId xmlns:a16="http://schemas.microsoft.com/office/drawing/2014/main" id="{D8896202-87C3-7208-8AA5-7E725B2638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79800" y="12446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xdr:row>
      <xdr:rowOff>0</xdr:rowOff>
    </xdr:from>
    <xdr:to>
      <xdr:col>5</xdr:col>
      <xdr:colOff>107950</xdr:colOff>
      <xdr:row>7</xdr:row>
      <xdr:rowOff>6350</xdr:rowOff>
    </xdr:to>
    <xdr:pic>
      <xdr:nvPicPr>
        <xdr:cNvPr id="20298" name="Picture 6" descr="PT_TAB1BII_1">
          <a:extLst>
            <a:ext uri="{FF2B5EF4-FFF2-40B4-BE49-F238E27FC236}">
              <a16:creationId xmlns:a16="http://schemas.microsoft.com/office/drawing/2014/main" id="{ACAF68B5-36C3-3687-EAB9-36FD95AFA4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37000" y="12446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7</xdr:row>
      <xdr:rowOff>0</xdr:rowOff>
    </xdr:from>
    <xdr:to>
      <xdr:col>1</xdr:col>
      <xdr:colOff>107950</xdr:colOff>
      <xdr:row>7</xdr:row>
      <xdr:rowOff>6350</xdr:rowOff>
    </xdr:to>
    <xdr:pic>
      <xdr:nvPicPr>
        <xdr:cNvPr id="20299" name="Picture 8" descr="PT_TAB1BII_1">
          <a:extLst>
            <a:ext uri="{FF2B5EF4-FFF2-40B4-BE49-F238E27FC236}">
              <a16:creationId xmlns:a16="http://schemas.microsoft.com/office/drawing/2014/main" id="{0DC5251E-B0B1-025C-A0EC-997B14E61C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 y="12446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xdr:row>
      <xdr:rowOff>0</xdr:rowOff>
    </xdr:from>
    <xdr:to>
      <xdr:col>5</xdr:col>
      <xdr:colOff>107950</xdr:colOff>
      <xdr:row>7</xdr:row>
      <xdr:rowOff>6350</xdr:rowOff>
    </xdr:to>
    <xdr:pic>
      <xdr:nvPicPr>
        <xdr:cNvPr id="20300" name="Picture 9" descr="PT_TAB1BII_1">
          <a:extLst>
            <a:ext uri="{FF2B5EF4-FFF2-40B4-BE49-F238E27FC236}">
              <a16:creationId xmlns:a16="http://schemas.microsoft.com/office/drawing/2014/main" id="{14EE0E62-03CF-BF98-2520-F077CD4CCA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37000" y="12446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31</xdr:row>
      <xdr:rowOff>0</xdr:rowOff>
    </xdr:from>
    <xdr:to>
      <xdr:col>0</xdr:col>
      <xdr:colOff>82550</xdr:colOff>
      <xdr:row>31</xdr:row>
      <xdr:rowOff>12700</xdr:rowOff>
    </xdr:to>
    <xdr:pic>
      <xdr:nvPicPr>
        <xdr:cNvPr id="20301" name="Picture 10" descr="PT_TAB1LIX_1">
          <a:extLst>
            <a:ext uri="{FF2B5EF4-FFF2-40B4-BE49-F238E27FC236}">
              <a16:creationId xmlns:a16="http://schemas.microsoft.com/office/drawing/2014/main" id="{2FEBCCB8-B4D3-DDBA-D75F-10038FE57E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72100"/>
          <a:ext cx="825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31</xdr:row>
      <xdr:rowOff>0</xdr:rowOff>
    </xdr:from>
    <xdr:to>
      <xdr:col>0</xdr:col>
      <xdr:colOff>107950</xdr:colOff>
      <xdr:row>31</xdr:row>
      <xdr:rowOff>12700</xdr:rowOff>
    </xdr:to>
    <xdr:pic>
      <xdr:nvPicPr>
        <xdr:cNvPr id="20302" name="Picture 11" descr="PT_TAB1BII_1">
          <a:extLst>
            <a:ext uri="{FF2B5EF4-FFF2-40B4-BE49-F238E27FC236}">
              <a16:creationId xmlns:a16="http://schemas.microsoft.com/office/drawing/2014/main" id="{07C120D3-E7DF-7E44-77DA-8F2B550389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3721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31</xdr:row>
      <xdr:rowOff>0</xdr:rowOff>
    </xdr:from>
    <xdr:to>
      <xdr:col>3</xdr:col>
      <xdr:colOff>107950</xdr:colOff>
      <xdr:row>31</xdr:row>
      <xdr:rowOff>12700</xdr:rowOff>
    </xdr:to>
    <xdr:pic>
      <xdr:nvPicPr>
        <xdr:cNvPr id="20303" name="Picture 12" descr="PT_TAB1BII_1">
          <a:extLst>
            <a:ext uri="{FF2B5EF4-FFF2-40B4-BE49-F238E27FC236}">
              <a16:creationId xmlns:a16="http://schemas.microsoft.com/office/drawing/2014/main" id="{A43AEB17-5E2A-BBE3-C3D9-0D6DCFB07A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73200" y="53721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31</xdr:row>
      <xdr:rowOff>0</xdr:rowOff>
    </xdr:from>
    <xdr:to>
      <xdr:col>1</xdr:col>
      <xdr:colOff>107950</xdr:colOff>
      <xdr:row>31</xdr:row>
      <xdr:rowOff>12700</xdr:rowOff>
    </xdr:to>
    <xdr:pic>
      <xdr:nvPicPr>
        <xdr:cNvPr id="20304" name="Picture 13" descr="PT_TAB1BII_1">
          <a:extLst>
            <a:ext uri="{FF2B5EF4-FFF2-40B4-BE49-F238E27FC236}">
              <a16:creationId xmlns:a16="http://schemas.microsoft.com/office/drawing/2014/main" id="{2C301B0A-A3E5-F105-C915-D6331C6AAA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 y="53721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31</xdr:row>
      <xdr:rowOff>0</xdr:rowOff>
    </xdr:from>
    <xdr:to>
      <xdr:col>4</xdr:col>
      <xdr:colOff>107950</xdr:colOff>
      <xdr:row>31</xdr:row>
      <xdr:rowOff>12700</xdr:rowOff>
    </xdr:to>
    <xdr:pic>
      <xdr:nvPicPr>
        <xdr:cNvPr id="20305" name="Picture 14" descr="PT_TAB1BII_1">
          <a:extLst>
            <a:ext uri="{FF2B5EF4-FFF2-40B4-BE49-F238E27FC236}">
              <a16:creationId xmlns:a16="http://schemas.microsoft.com/office/drawing/2014/main" id="{17BDAF91-3433-41E7-F86A-96802EBC34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79800" y="53721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31</xdr:row>
      <xdr:rowOff>0</xdr:rowOff>
    </xdr:from>
    <xdr:to>
      <xdr:col>5</xdr:col>
      <xdr:colOff>107950</xdr:colOff>
      <xdr:row>31</xdr:row>
      <xdr:rowOff>12700</xdr:rowOff>
    </xdr:to>
    <xdr:pic>
      <xdr:nvPicPr>
        <xdr:cNvPr id="20306" name="Picture 15" descr="PT_TAB1BII_1">
          <a:extLst>
            <a:ext uri="{FF2B5EF4-FFF2-40B4-BE49-F238E27FC236}">
              <a16:creationId xmlns:a16="http://schemas.microsoft.com/office/drawing/2014/main" id="{04EF3A52-1BF6-1B9F-01F0-09B8FE435F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37000" y="53721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31</xdr:row>
      <xdr:rowOff>0</xdr:rowOff>
    </xdr:from>
    <xdr:to>
      <xdr:col>1</xdr:col>
      <xdr:colOff>107950</xdr:colOff>
      <xdr:row>31</xdr:row>
      <xdr:rowOff>12700</xdr:rowOff>
    </xdr:to>
    <xdr:pic>
      <xdr:nvPicPr>
        <xdr:cNvPr id="20307" name="Picture 16" descr="PT_TAB1BII_1">
          <a:extLst>
            <a:ext uri="{FF2B5EF4-FFF2-40B4-BE49-F238E27FC236}">
              <a16:creationId xmlns:a16="http://schemas.microsoft.com/office/drawing/2014/main" id="{91BA49F0-925D-2D76-EB6C-FEB68D1411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 y="53721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31</xdr:row>
      <xdr:rowOff>0</xdr:rowOff>
    </xdr:from>
    <xdr:to>
      <xdr:col>5</xdr:col>
      <xdr:colOff>107950</xdr:colOff>
      <xdr:row>31</xdr:row>
      <xdr:rowOff>12700</xdr:rowOff>
    </xdr:to>
    <xdr:pic>
      <xdr:nvPicPr>
        <xdr:cNvPr id="20308" name="Picture 17" descr="PT_TAB1BII_1">
          <a:extLst>
            <a:ext uri="{FF2B5EF4-FFF2-40B4-BE49-F238E27FC236}">
              <a16:creationId xmlns:a16="http://schemas.microsoft.com/office/drawing/2014/main" id="{ECBDBD73-E8D4-B953-E11F-80B71149FA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37000" y="53721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7</xdr:row>
      <xdr:rowOff>0</xdr:rowOff>
    </xdr:from>
    <xdr:to>
      <xdr:col>0</xdr:col>
      <xdr:colOff>82550</xdr:colOff>
      <xdr:row>7</xdr:row>
      <xdr:rowOff>6350</xdr:rowOff>
    </xdr:to>
    <xdr:pic>
      <xdr:nvPicPr>
        <xdr:cNvPr id="21315" name="Picture 1" descr="PT_TAB1LIX_1">
          <a:extLst>
            <a:ext uri="{FF2B5EF4-FFF2-40B4-BE49-F238E27FC236}">
              <a16:creationId xmlns:a16="http://schemas.microsoft.com/office/drawing/2014/main" id="{963DD82E-27B9-5CB9-F385-90618C6B29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63650"/>
          <a:ext cx="825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7</xdr:row>
      <xdr:rowOff>0</xdr:rowOff>
    </xdr:from>
    <xdr:to>
      <xdr:col>0</xdr:col>
      <xdr:colOff>107950</xdr:colOff>
      <xdr:row>7</xdr:row>
      <xdr:rowOff>6350</xdr:rowOff>
    </xdr:to>
    <xdr:pic>
      <xdr:nvPicPr>
        <xdr:cNvPr id="21316" name="Picture 2" descr="PT_TAB1BII_1">
          <a:extLst>
            <a:ext uri="{FF2B5EF4-FFF2-40B4-BE49-F238E27FC236}">
              <a16:creationId xmlns:a16="http://schemas.microsoft.com/office/drawing/2014/main" id="{37EBD684-4B4F-D6BC-69F8-3216839D34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26365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7</xdr:row>
      <xdr:rowOff>0</xdr:rowOff>
    </xdr:from>
    <xdr:to>
      <xdr:col>3</xdr:col>
      <xdr:colOff>107950</xdr:colOff>
      <xdr:row>7</xdr:row>
      <xdr:rowOff>6350</xdr:rowOff>
    </xdr:to>
    <xdr:pic>
      <xdr:nvPicPr>
        <xdr:cNvPr id="21317" name="Picture 3" descr="PT_TAB1BII_1">
          <a:extLst>
            <a:ext uri="{FF2B5EF4-FFF2-40B4-BE49-F238E27FC236}">
              <a16:creationId xmlns:a16="http://schemas.microsoft.com/office/drawing/2014/main" id="{1E69A608-1D5F-865C-FEF2-8ECA78099E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73200" y="126365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7</xdr:row>
      <xdr:rowOff>0</xdr:rowOff>
    </xdr:from>
    <xdr:to>
      <xdr:col>1</xdr:col>
      <xdr:colOff>107950</xdr:colOff>
      <xdr:row>7</xdr:row>
      <xdr:rowOff>6350</xdr:rowOff>
    </xdr:to>
    <xdr:pic>
      <xdr:nvPicPr>
        <xdr:cNvPr id="21318" name="Picture 4" descr="PT_TAB1BII_1">
          <a:extLst>
            <a:ext uri="{FF2B5EF4-FFF2-40B4-BE49-F238E27FC236}">
              <a16:creationId xmlns:a16="http://schemas.microsoft.com/office/drawing/2014/main" id="{A572CFCC-3DF7-61F0-2199-4497AB579D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 y="126365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7</xdr:row>
      <xdr:rowOff>0</xdr:rowOff>
    </xdr:from>
    <xdr:to>
      <xdr:col>5</xdr:col>
      <xdr:colOff>107950</xdr:colOff>
      <xdr:row>7</xdr:row>
      <xdr:rowOff>6350</xdr:rowOff>
    </xdr:to>
    <xdr:pic>
      <xdr:nvPicPr>
        <xdr:cNvPr id="21319" name="Picture 5" descr="PT_TAB1BII_1">
          <a:extLst>
            <a:ext uri="{FF2B5EF4-FFF2-40B4-BE49-F238E27FC236}">
              <a16:creationId xmlns:a16="http://schemas.microsoft.com/office/drawing/2014/main" id="{54D1EEA1-99E8-0EE5-2F15-5B91D99A47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79800" y="126365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xdr:row>
      <xdr:rowOff>0</xdr:rowOff>
    </xdr:from>
    <xdr:to>
      <xdr:col>5</xdr:col>
      <xdr:colOff>107950</xdr:colOff>
      <xdr:row>7</xdr:row>
      <xdr:rowOff>6350</xdr:rowOff>
    </xdr:to>
    <xdr:pic>
      <xdr:nvPicPr>
        <xdr:cNvPr id="21320" name="Picture 6" descr="PT_TAB1BII_1">
          <a:extLst>
            <a:ext uri="{FF2B5EF4-FFF2-40B4-BE49-F238E27FC236}">
              <a16:creationId xmlns:a16="http://schemas.microsoft.com/office/drawing/2014/main" id="{B7AD1659-FE49-33C6-601D-C3ABBD122A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79800" y="126365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7</xdr:row>
      <xdr:rowOff>0</xdr:rowOff>
    </xdr:from>
    <xdr:to>
      <xdr:col>1</xdr:col>
      <xdr:colOff>107950</xdr:colOff>
      <xdr:row>7</xdr:row>
      <xdr:rowOff>6350</xdr:rowOff>
    </xdr:to>
    <xdr:pic>
      <xdr:nvPicPr>
        <xdr:cNvPr id="21321" name="Picture 7" descr="PT_TAB1BII_1">
          <a:extLst>
            <a:ext uri="{FF2B5EF4-FFF2-40B4-BE49-F238E27FC236}">
              <a16:creationId xmlns:a16="http://schemas.microsoft.com/office/drawing/2014/main" id="{EBB4C90D-1634-38CE-3391-A52F0BDA07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 y="126365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xdr:row>
      <xdr:rowOff>0</xdr:rowOff>
    </xdr:from>
    <xdr:to>
      <xdr:col>5</xdr:col>
      <xdr:colOff>107950</xdr:colOff>
      <xdr:row>7</xdr:row>
      <xdr:rowOff>6350</xdr:rowOff>
    </xdr:to>
    <xdr:pic>
      <xdr:nvPicPr>
        <xdr:cNvPr id="21322" name="Picture 8" descr="PT_TAB1BII_1">
          <a:extLst>
            <a:ext uri="{FF2B5EF4-FFF2-40B4-BE49-F238E27FC236}">
              <a16:creationId xmlns:a16="http://schemas.microsoft.com/office/drawing/2014/main" id="{821728D0-60F8-85FA-4727-08AB979D12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79800" y="126365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30</xdr:row>
      <xdr:rowOff>0</xdr:rowOff>
    </xdr:from>
    <xdr:to>
      <xdr:col>0</xdr:col>
      <xdr:colOff>82550</xdr:colOff>
      <xdr:row>30</xdr:row>
      <xdr:rowOff>12700</xdr:rowOff>
    </xdr:to>
    <xdr:pic>
      <xdr:nvPicPr>
        <xdr:cNvPr id="21323" name="Picture 9" descr="PT_TAB1LIX_1">
          <a:extLst>
            <a:ext uri="{FF2B5EF4-FFF2-40B4-BE49-F238E27FC236}">
              <a16:creationId xmlns:a16="http://schemas.microsoft.com/office/drawing/2014/main" id="{92381FF3-B8CB-ECD4-3B3B-7EDA0EA240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238750"/>
          <a:ext cx="825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30</xdr:row>
      <xdr:rowOff>0</xdr:rowOff>
    </xdr:from>
    <xdr:to>
      <xdr:col>0</xdr:col>
      <xdr:colOff>107950</xdr:colOff>
      <xdr:row>30</xdr:row>
      <xdr:rowOff>12700</xdr:rowOff>
    </xdr:to>
    <xdr:pic>
      <xdr:nvPicPr>
        <xdr:cNvPr id="21324" name="Picture 10" descr="PT_TAB1BII_1">
          <a:extLst>
            <a:ext uri="{FF2B5EF4-FFF2-40B4-BE49-F238E27FC236}">
              <a16:creationId xmlns:a16="http://schemas.microsoft.com/office/drawing/2014/main" id="{CCF7C0A6-EA42-D364-2732-D008686EBA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23875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30</xdr:row>
      <xdr:rowOff>0</xdr:rowOff>
    </xdr:from>
    <xdr:to>
      <xdr:col>3</xdr:col>
      <xdr:colOff>107950</xdr:colOff>
      <xdr:row>30</xdr:row>
      <xdr:rowOff>12700</xdr:rowOff>
    </xdr:to>
    <xdr:pic>
      <xdr:nvPicPr>
        <xdr:cNvPr id="21325" name="Picture 11" descr="PT_TAB1BII_1">
          <a:extLst>
            <a:ext uri="{FF2B5EF4-FFF2-40B4-BE49-F238E27FC236}">
              <a16:creationId xmlns:a16="http://schemas.microsoft.com/office/drawing/2014/main" id="{07A093CA-A8DB-C7EE-71D5-30128256D0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73200" y="523875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30</xdr:row>
      <xdr:rowOff>0</xdr:rowOff>
    </xdr:from>
    <xdr:to>
      <xdr:col>1</xdr:col>
      <xdr:colOff>107950</xdr:colOff>
      <xdr:row>30</xdr:row>
      <xdr:rowOff>12700</xdr:rowOff>
    </xdr:to>
    <xdr:pic>
      <xdr:nvPicPr>
        <xdr:cNvPr id="21326" name="Picture 12" descr="PT_TAB1BII_1">
          <a:extLst>
            <a:ext uri="{FF2B5EF4-FFF2-40B4-BE49-F238E27FC236}">
              <a16:creationId xmlns:a16="http://schemas.microsoft.com/office/drawing/2014/main" id="{BE030BD9-C6E3-E6C6-712C-4E0D41701E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 y="523875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30</xdr:row>
      <xdr:rowOff>0</xdr:rowOff>
    </xdr:from>
    <xdr:to>
      <xdr:col>5</xdr:col>
      <xdr:colOff>107950</xdr:colOff>
      <xdr:row>30</xdr:row>
      <xdr:rowOff>12700</xdr:rowOff>
    </xdr:to>
    <xdr:pic>
      <xdr:nvPicPr>
        <xdr:cNvPr id="21327" name="Picture 13" descr="PT_TAB1BII_1">
          <a:extLst>
            <a:ext uri="{FF2B5EF4-FFF2-40B4-BE49-F238E27FC236}">
              <a16:creationId xmlns:a16="http://schemas.microsoft.com/office/drawing/2014/main" id="{FC4511AB-59B9-2788-4227-4D935FCA10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79800" y="523875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30</xdr:row>
      <xdr:rowOff>0</xdr:rowOff>
    </xdr:from>
    <xdr:to>
      <xdr:col>5</xdr:col>
      <xdr:colOff>107950</xdr:colOff>
      <xdr:row>30</xdr:row>
      <xdr:rowOff>12700</xdr:rowOff>
    </xdr:to>
    <xdr:pic>
      <xdr:nvPicPr>
        <xdr:cNvPr id="21328" name="Picture 14" descr="PT_TAB1BII_1">
          <a:extLst>
            <a:ext uri="{FF2B5EF4-FFF2-40B4-BE49-F238E27FC236}">
              <a16:creationId xmlns:a16="http://schemas.microsoft.com/office/drawing/2014/main" id="{9F3B908D-0738-381E-5D25-0DCA797633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79800" y="523875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30</xdr:row>
      <xdr:rowOff>0</xdr:rowOff>
    </xdr:from>
    <xdr:to>
      <xdr:col>1</xdr:col>
      <xdr:colOff>107950</xdr:colOff>
      <xdr:row>30</xdr:row>
      <xdr:rowOff>12700</xdr:rowOff>
    </xdr:to>
    <xdr:pic>
      <xdr:nvPicPr>
        <xdr:cNvPr id="21329" name="Picture 15" descr="PT_TAB1BII_1">
          <a:extLst>
            <a:ext uri="{FF2B5EF4-FFF2-40B4-BE49-F238E27FC236}">
              <a16:creationId xmlns:a16="http://schemas.microsoft.com/office/drawing/2014/main" id="{FED0B125-5A33-F339-9650-45F7E715CC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 y="523875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30</xdr:row>
      <xdr:rowOff>0</xdr:rowOff>
    </xdr:from>
    <xdr:to>
      <xdr:col>5</xdr:col>
      <xdr:colOff>107950</xdr:colOff>
      <xdr:row>30</xdr:row>
      <xdr:rowOff>12700</xdr:rowOff>
    </xdr:to>
    <xdr:pic>
      <xdr:nvPicPr>
        <xdr:cNvPr id="21330" name="Picture 16" descr="PT_TAB1BII_1">
          <a:extLst>
            <a:ext uri="{FF2B5EF4-FFF2-40B4-BE49-F238E27FC236}">
              <a16:creationId xmlns:a16="http://schemas.microsoft.com/office/drawing/2014/main" id="{802BD1FE-8A5A-08FC-51EC-3D20F60EF0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79800" y="523875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0</xdr:col>
      <xdr:colOff>82550</xdr:colOff>
      <xdr:row>5</xdr:row>
      <xdr:rowOff>6350</xdr:rowOff>
    </xdr:to>
    <xdr:pic>
      <xdr:nvPicPr>
        <xdr:cNvPr id="22322" name="Picture 1" descr="PT_TAB1LIX_1">
          <a:extLst>
            <a:ext uri="{FF2B5EF4-FFF2-40B4-BE49-F238E27FC236}">
              <a16:creationId xmlns:a16="http://schemas.microsoft.com/office/drawing/2014/main" id="{19ED3217-8490-129F-0A74-96F8832636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14400"/>
          <a:ext cx="825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107950</xdr:colOff>
      <xdr:row>5</xdr:row>
      <xdr:rowOff>6350</xdr:rowOff>
    </xdr:to>
    <xdr:pic>
      <xdr:nvPicPr>
        <xdr:cNvPr id="22323" name="Picture 2" descr="PT_TAB1BII_1">
          <a:extLst>
            <a:ext uri="{FF2B5EF4-FFF2-40B4-BE49-F238E27FC236}">
              <a16:creationId xmlns:a16="http://schemas.microsoft.com/office/drawing/2014/main" id="{D9477253-88A0-BFA5-7D0D-99D013B815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9144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5</xdr:row>
      <xdr:rowOff>0</xdr:rowOff>
    </xdr:from>
    <xdr:to>
      <xdr:col>3</xdr:col>
      <xdr:colOff>107950</xdr:colOff>
      <xdr:row>5</xdr:row>
      <xdr:rowOff>6350</xdr:rowOff>
    </xdr:to>
    <xdr:pic>
      <xdr:nvPicPr>
        <xdr:cNvPr id="22324" name="Picture 3" descr="PT_TAB1BII_1">
          <a:extLst>
            <a:ext uri="{FF2B5EF4-FFF2-40B4-BE49-F238E27FC236}">
              <a16:creationId xmlns:a16="http://schemas.microsoft.com/office/drawing/2014/main" id="{67005BD1-193F-2C72-03B8-935C5156AD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55750" y="9144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0</xdr:rowOff>
    </xdr:from>
    <xdr:to>
      <xdr:col>1</xdr:col>
      <xdr:colOff>107950</xdr:colOff>
      <xdr:row>5</xdr:row>
      <xdr:rowOff>6350</xdr:rowOff>
    </xdr:to>
    <xdr:pic>
      <xdr:nvPicPr>
        <xdr:cNvPr id="22325" name="Picture 4" descr="PT_TAB1BII_1">
          <a:extLst>
            <a:ext uri="{FF2B5EF4-FFF2-40B4-BE49-F238E27FC236}">
              <a16:creationId xmlns:a16="http://schemas.microsoft.com/office/drawing/2014/main" id="{5483AF42-BE66-9B7E-3E7E-69F913A03A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1200" y="9144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5</xdr:row>
      <xdr:rowOff>0</xdr:rowOff>
    </xdr:from>
    <xdr:to>
      <xdr:col>5</xdr:col>
      <xdr:colOff>107950</xdr:colOff>
      <xdr:row>5</xdr:row>
      <xdr:rowOff>6350</xdr:rowOff>
    </xdr:to>
    <xdr:pic>
      <xdr:nvPicPr>
        <xdr:cNvPr id="22326" name="Picture 5" descr="PT_TAB1BII_1">
          <a:extLst>
            <a:ext uri="{FF2B5EF4-FFF2-40B4-BE49-F238E27FC236}">
              <a16:creationId xmlns:a16="http://schemas.microsoft.com/office/drawing/2014/main" id="{80400829-00D2-9B5C-87BD-0052B41CDB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562350" y="9144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5</xdr:row>
      <xdr:rowOff>0</xdr:rowOff>
    </xdr:from>
    <xdr:to>
      <xdr:col>5</xdr:col>
      <xdr:colOff>107950</xdr:colOff>
      <xdr:row>5</xdr:row>
      <xdr:rowOff>6350</xdr:rowOff>
    </xdr:to>
    <xdr:pic>
      <xdr:nvPicPr>
        <xdr:cNvPr id="22327" name="Picture 6" descr="PT_TAB1BII_1">
          <a:extLst>
            <a:ext uri="{FF2B5EF4-FFF2-40B4-BE49-F238E27FC236}">
              <a16:creationId xmlns:a16="http://schemas.microsoft.com/office/drawing/2014/main" id="{905DFC9E-1FE7-9B5C-B20F-0119864916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562350" y="9144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0</xdr:rowOff>
    </xdr:from>
    <xdr:to>
      <xdr:col>1</xdr:col>
      <xdr:colOff>107950</xdr:colOff>
      <xdr:row>5</xdr:row>
      <xdr:rowOff>6350</xdr:rowOff>
    </xdr:to>
    <xdr:pic>
      <xdr:nvPicPr>
        <xdr:cNvPr id="22328" name="Picture 7" descr="PT_TAB1BII_1">
          <a:extLst>
            <a:ext uri="{FF2B5EF4-FFF2-40B4-BE49-F238E27FC236}">
              <a16:creationId xmlns:a16="http://schemas.microsoft.com/office/drawing/2014/main" id="{1A806B28-56C5-FAA2-7831-7CDC618212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1200" y="9144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5</xdr:row>
      <xdr:rowOff>0</xdr:rowOff>
    </xdr:from>
    <xdr:to>
      <xdr:col>5</xdr:col>
      <xdr:colOff>107950</xdr:colOff>
      <xdr:row>5</xdr:row>
      <xdr:rowOff>6350</xdr:rowOff>
    </xdr:to>
    <xdr:pic>
      <xdr:nvPicPr>
        <xdr:cNvPr id="22329" name="Picture 8" descr="PT_TAB1BII_1">
          <a:extLst>
            <a:ext uri="{FF2B5EF4-FFF2-40B4-BE49-F238E27FC236}">
              <a16:creationId xmlns:a16="http://schemas.microsoft.com/office/drawing/2014/main" id="{5508B438-6595-A92B-0CE2-A5B3120DD8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562350" y="9144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28</xdr:row>
      <xdr:rowOff>0</xdr:rowOff>
    </xdr:from>
    <xdr:to>
      <xdr:col>0</xdr:col>
      <xdr:colOff>82550</xdr:colOff>
      <xdr:row>28</xdr:row>
      <xdr:rowOff>12700</xdr:rowOff>
    </xdr:to>
    <xdr:pic>
      <xdr:nvPicPr>
        <xdr:cNvPr id="22330" name="Picture 9" descr="PT_TAB1LIX_1">
          <a:extLst>
            <a:ext uri="{FF2B5EF4-FFF2-40B4-BE49-F238E27FC236}">
              <a16:creationId xmlns:a16="http://schemas.microsoft.com/office/drawing/2014/main" id="{1D494F8C-90EA-011D-3A3C-9E8D6E4E06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883150"/>
          <a:ext cx="825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28</xdr:row>
      <xdr:rowOff>0</xdr:rowOff>
    </xdr:from>
    <xdr:to>
      <xdr:col>0</xdr:col>
      <xdr:colOff>107950</xdr:colOff>
      <xdr:row>28</xdr:row>
      <xdr:rowOff>12700</xdr:rowOff>
    </xdr:to>
    <xdr:pic>
      <xdr:nvPicPr>
        <xdr:cNvPr id="22331" name="Picture 10" descr="PT_TAB1BII_1">
          <a:extLst>
            <a:ext uri="{FF2B5EF4-FFF2-40B4-BE49-F238E27FC236}">
              <a16:creationId xmlns:a16="http://schemas.microsoft.com/office/drawing/2014/main" id="{6A6682DA-E9E8-6A8A-98A0-FA652C1007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88315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28</xdr:row>
      <xdr:rowOff>0</xdr:rowOff>
    </xdr:from>
    <xdr:to>
      <xdr:col>3</xdr:col>
      <xdr:colOff>107950</xdr:colOff>
      <xdr:row>28</xdr:row>
      <xdr:rowOff>12700</xdr:rowOff>
    </xdr:to>
    <xdr:pic>
      <xdr:nvPicPr>
        <xdr:cNvPr id="22332" name="Picture 11" descr="PT_TAB1BII_1">
          <a:extLst>
            <a:ext uri="{FF2B5EF4-FFF2-40B4-BE49-F238E27FC236}">
              <a16:creationId xmlns:a16="http://schemas.microsoft.com/office/drawing/2014/main" id="{91C9DA1F-B3B5-80AD-E27E-2713CA90D9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55750" y="488315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28</xdr:row>
      <xdr:rowOff>0</xdr:rowOff>
    </xdr:from>
    <xdr:to>
      <xdr:col>1</xdr:col>
      <xdr:colOff>107950</xdr:colOff>
      <xdr:row>28</xdr:row>
      <xdr:rowOff>12700</xdr:rowOff>
    </xdr:to>
    <xdr:pic>
      <xdr:nvPicPr>
        <xdr:cNvPr id="22333" name="Picture 12" descr="PT_TAB1BII_1">
          <a:extLst>
            <a:ext uri="{FF2B5EF4-FFF2-40B4-BE49-F238E27FC236}">
              <a16:creationId xmlns:a16="http://schemas.microsoft.com/office/drawing/2014/main" id="{66D8CF05-E86B-3B0C-9E8A-DC63D444E4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1200" y="488315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28</xdr:row>
      <xdr:rowOff>0</xdr:rowOff>
    </xdr:from>
    <xdr:to>
      <xdr:col>5</xdr:col>
      <xdr:colOff>107950</xdr:colOff>
      <xdr:row>28</xdr:row>
      <xdr:rowOff>12700</xdr:rowOff>
    </xdr:to>
    <xdr:pic>
      <xdr:nvPicPr>
        <xdr:cNvPr id="22334" name="Picture 13" descr="PT_TAB1BII_1">
          <a:extLst>
            <a:ext uri="{FF2B5EF4-FFF2-40B4-BE49-F238E27FC236}">
              <a16:creationId xmlns:a16="http://schemas.microsoft.com/office/drawing/2014/main" id="{E0B30BB3-534B-E6FB-DDAE-5DBB73E478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562350" y="488315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28</xdr:row>
      <xdr:rowOff>0</xdr:rowOff>
    </xdr:from>
    <xdr:to>
      <xdr:col>5</xdr:col>
      <xdr:colOff>107950</xdr:colOff>
      <xdr:row>28</xdr:row>
      <xdr:rowOff>12700</xdr:rowOff>
    </xdr:to>
    <xdr:pic>
      <xdr:nvPicPr>
        <xdr:cNvPr id="22335" name="Picture 14" descr="PT_TAB1BII_1">
          <a:extLst>
            <a:ext uri="{FF2B5EF4-FFF2-40B4-BE49-F238E27FC236}">
              <a16:creationId xmlns:a16="http://schemas.microsoft.com/office/drawing/2014/main" id="{31E5FD47-7C89-6F5D-D2A8-AE06A71A1D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562350" y="488315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28</xdr:row>
      <xdr:rowOff>0</xdr:rowOff>
    </xdr:from>
    <xdr:to>
      <xdr:col>1</xdr:col>
      <xdr:colOff>107950</xdr:colOff>
      <xdr:row>28</xdr:row>
      <xdr:rowOff>12700</xdr:rowOff>
    </xdr:to>
    <xdr:pic>
      <xdr:nvPicPr>
        <xdr:cNvPr id="22336" name="Picture 15" descr="PT_TAB1BII_1">
          <a:extLst>
            <a:ext uri="{FF2B5EF4-FFF2-40B4-BE49-F238E27FC236}">
              <a16:creationId xmlns:a16="http://schemas.microsoft.com/office/drawing/2014/main" id="{EFAB3005-0A8D-9A73-186E-4B3DABA037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1200" y="488315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28</xdr:row>
      <xdr:rowOff>0</xdr:rowOff>
    </xdr:from>
    <xdr:to>
      <xdr:col>5</xdr:col>
      <xdr:colOff>107950</xdr:colOff>
      <xdr:row>28</xdr:row>
      <xdr:rowOff>12700</xdr:rowOff>
    </xdr:to>
    <xdr:pic>
      <xdr:nvPicPr>
        <xdr:cNvPr id="22337" name="Picture 16" descr="PT_TAB1BII_1">
          <a:extLst>
            <a:ext uri="{FF2B5EF4-FFF2-40B4-BE49-F238E27FC236}">
              <a16:creationId xmlns:a16="http://schemas.microsoft.com/office/drawing/2014/main" id="{772F522D-2B87-4A57-11B5-DD7D1B2951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562350" y="488315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7</xdr:row>
      <xdr:rowOff>0</xdr:rowOff>
    </xdr:from>
    <xdr:to>
      <xdr:col>0</xdr:col>
      <xdr:colOff>82550</xdr:colOff>
      <xdr:row>7</xdr:row>
      <xdr:rowOff>6350</xdr:rowOff>
    </xdr:to>
    <xdr:pic>
      <xdr:nvPicPr>
        <xdr:cNvPr id="23330" name="Picture 1" descr="PT_TAB1LIX_1">
          <a:extLst>
            <a:ext uri="{FF2B5EF4-FFF2-40B4-BE49-F238E27FC236}">
              <a16:creationId xmlns:a16="http://schemas.microsoft.com/office/drawing/2014/main" id="{F84A1680-83D2-F0FB-F430-B59B9DB5EC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44600"/>
          <a:ext cx="825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7</xdr:row>
      <xdr:rowOff>0</xdr:rowOff>
    </xdr:from>
    <xdr:to>
      <xdr:col>0</xdr:col>
      <xdr:colOff>107950</xdr:colOff>
      <xdr:row>7</xdr:row>
      <xdr:rowOff>6350</xdr:rowOff>
    </xdr:to>
    <xdr:pic>
      <xdr:nvPicPr>
        <xdr:cNvPr id="23331" name="Picture 2" descr="PT_TAB1BII_1">
          <a:extLst>
            <a:ext uri="{FF2B5EF4-FFF2-40B4-BE49-F238E27FC236}">
              <a16:creationId xmlns:a16="http://schemas.microsoft.com/office/drawing/2014/main" id="{5A49ADB5-6EFD-17AD-E2A1-24879771B5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2446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7</xdr:row>
      <xdr:rowOff>0</xdr:rowOff>
    </xdr:from>
    <xdr:to>
      <xdr:col>3</xdr:col>
      <xdr:colOff>107950</xdr:colOff>
      <xdr:row>7</xdr:row>
      <xdr:rowOff>6350</xdr:rowOff>
    </xdr:to>
    <xdr:pic>
      <xdr:nvPicPr>
        <xdr:cNvPr id="23332" name="Picture 3" descr="PT_TAB1BII_1">
          <a:extLst>
            <a:ext uri="{FF2B5EF4-FFF2-40B4-BE49-F238E27FC236}">
              <a16:creationId xmlns:a16="http://schemas.microsoft.com/office/drawing/2014/main" id="{6A3ABB3D-5978-001B-7FAD-1F5866BF00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73200" y="12446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7</xdr:row>
      <xdr:rowOff>0</xdr:rowOff>
    </xdr:from>
    <xdr:to>
      <xdr:col>1</xdr:col>
      <xdr:colOff>107950</xdr:colOff>
      <xdr:row>7</xdr:row>
      <xdr:rowOff>6350</xdr:rowOff>
    </xdr:to>
    <xdr:pic>
      <xdr:nvPicPr>
        <xdr:cNvPr id="23333" name="Picture 4" descr="PT_TAB1BII_1">
          <a:extLst>
            <a:ext uri="{FF2B5EF4-FFF2-40B4-BE49-F238E27FC236}">
              <a16:creationId xmlns:a16="http://schemas.microsoft.com/office/drawing/2014/main" id="{F908A248-C3BB-108C-261D-653CDC9146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 y="12446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7</xdr:row>
      <xdr:rowOff>0</xdr:rowOff>
    </xdr:from>
    <xdr:to>
      <xdr:col>4</xdr:col>
      <xdr:colOff>107950</xdr:colOff>
      <xdr:row>7</xdr:row>
      <xdr:rowOff>6350</xdr:rowOff>
    </xdr:to>
    <xdr:pic>
      <xdr:nvPicPr>
        <xdr:cNvPr id="23334" name="Picture 5" descr="PT_TAB1BII_1">
          <a:extLst>
            <a:ext uri="{FF2B5EF4-FFF2-40B4-BE49-F238E27FC236}">
              <a16:creationId xmlns:a16="http://schemas.microsoft.com/office/drawing/2014/main" id="{F701B4E0-098C-CFCD-3451-DDBBD6D420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79800" y="12446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xdr:row>
      <xdr:rowOff>0</xdr:rowOff>
    </xdr:from>
    <xdr:to>
      <xdr:col>5</xdr:col>
      <xdr:colOff>107950</xdr:colOff>
      <xdr:row>7</xdr:row>
      <xdr:rowOff>6350</xdr:rowOff>
    </xdr:to>
    <xdr:pic>
      <xdr:nvPicPr>
        <xdr:cNvPr id="23335" name="Picture 6" descr="PT_TAB1BII_1">
          <a:extLst>
            <a:ext uri="{FF2B5EF4-FFF2-40B4-BE49-F238E27FC236}">
              <a16:creationId xmlns:a16="http://schemas.microsoft.com/office/drawing/2014/main" id="{130C8265-0A83-9A47-CED4-8C7D165BEE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37000" y="12446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7</xdr:row>
      <xdr:rowOff>0</xdr:rowOff>
    </xdr:from>
    <xdr:to>
      <xdr:col>1</xdr:col>
      <xdr:colOff>107950</xdr:colOff>
      <xdr:row>7</xdr:row>
      <xdr:rowOff>6350</xdr:rowOff>
    </xdr:to>
    <xdr:pic>
      <xdr:nvPicPr>
        <xdr:cNvPr id="23336" name="Picture 7" descr="PT_TAB1BII_1">
          <a:extLst>
            <a:ext uri="{FF2B5EF4-FFF2-40B4-BE49-F238E27FC236}">
              <a16:creationId xmlns:a16="http://schemas.microsoft.com/office/drawing/2014/main" id="{00778FEE-4B04-C4EC-B8A2-4938FD1982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 y="12446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xdr:row>
      <xdr:rowOff>0</xdr:rowOff>
    </xdr:from>
    <xdr:to>
      <xdr:col>5</xdr:col>
      <xdr:colOff>107950</xdr:colOff>
      <xdr:row>7</xdr:row>
      <xdr:rowOff>6350</xdr:rowOff>
    </xdr:to>
    <xdr:pic>
      <xdr:nvPicPr>
        <xdr:cNvPr id="23337" name="Picture 8" descr="PT_TAB1BII_1">
          <a:extLst>
            <a:ext uri="{FF2B5EF4-FFF2-40B4-BE49-F238E27FC236}">
              <a16:creationId xmlns:a16="http://schemas.microsoft.com/office/drawing/2014/main" id="{8F4726AE-77F9-A5AD-2AFC-E0D0A964C3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37000" y="12446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30</xdr:row>
      <xdr:rowOff>0</xdr:rowOff>
    </xdr:from>
    <xdr:to>
      <xdr:col>0</xdr:col>
      <xdr:colOff>82550</xdr:colOff>
      <xdr:row>30</xdr:row>
      <xdr:rowOff>12700</xdr:rowOff>
    </xdr:to>
    <xdr:pic>
      <xdr:nvPicPr>
        <xdr:cNvPr id="23338" name="Picture 9" descr="PT_TAB1LIX_1">
          <a:extLst>
            <a:ext uri="{FF2B5EF4-FFF2-40B4-BE49-F238E27FC236}">
              <a16:creationId xmlns:a16="http://schemas.microsoft.com/office/drawing/2014/main" id="{579A1770-A985-32B2-1F92-017D1B65C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054600"/>
          <a:ext cx="825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30</xdr:row>
      <xdr:rowOff>0</xdr:rowOff>
    </xdr:from>
    <xdr:to>
      <xdr:col>0</xdr:col>
      <xdr:colOff>107950</xdr:colOff>
      <xdr:row>30</xdr:row>
      <xdr:rowOff>12700</xdr:rowOff>
    </xdr:to>
    <xdr:pic>
      <xdr:nvPicPr>
        <xdr:cNvPr id="23339" name="Picture 10" descr="PT_TAB1BII_1">
          <a:extLst>
            <a:ext uri="{FF2B5EF4-FFF2-40B4-BE49-F238E27FC236}">
              <a16:creationId xmlns:a16="http://schemas.microsoft.com/office/drawing/2014/main" id="{6D4188AC-BCD4-90D8-1CDF-9F3A406FF1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0546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30</xdr:row>
      <xdr:rowOff>0</xdr:rowOff>
    </xdr:from>
    <xdr:to>
      <xdr:col>3</xdr:col>
      <xdr:colOff>107950</xdr:colOff>
      <xdr:row>30</xdr:row>
      <xdr:rowOff>12700</xdr:rowOff>
    </xdr:to>
    <xdr:pic>
      <xdr:nvPicPr>
        <xdr:cNvPr id="23340" name="Picture 11" descr="PT_TAB1BII_1">
          <a:extLst>
            <a:ext uri="{FF2B5EF4-FFF2-40B4-BE49-F238E27FC236}">
              <a16:creationId xmlns:a16="http://schemas.microsoft.com/office/drawing/2014/main" id="{BBCA0CFE-27DF-80AF-739D-93AF79C616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73200" y="50546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30</xdr:row>
      <xdr:rowOff>0</xdr:rowOff>
    </xdr:from>
    <xdr:to>
      <xdr:col>1</xdr:col>
      <xdr:colOff>107950</xdr:colOff>
      <xdr:row>30</xdr:row>
      <xdr:rowOff>12700</xdr:rowOff>
    </xdr:to>
    <xdr:pic>
      <xdr:nvPicPr>
        <xdr:cNvPr id="23341" name="Picture 12" descr="PT_TAB1BII_1">
          <a:extLst>
            <a:ext uri="{FF2B5EF4-FFF2-40B4-BE49-F238E27FC236}">
              <a16:creationId xmlns:a16="http://schemas.microsoft.com/office/drawing/2014/main" id="{BEFD8785-F17A-B519-CEE4-EA34FA1C4F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 y="50546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30</xdr:row>
      <xdr:rowOff>0</xdr:rowOff>
    </xdr:from>
    <xdr:to>
      <xdr:col>4</xdr:col>
      <xdr:colOff>107950</xdr:colOff>
      <xdr:row>30</xdr:row>
      <xdr:rowOff>12700</xdr:rowOff>
    </xdr:to>
    <xdr:pic>
      <xdr:nvPicPr>
        <xdr:cNvPr id="23342" name="Picture 13" descr="PT_TAB1BII_1">
          <a:extLst>
            <a:ext uri="{FF2B5EF4-FFF2-40B4-BE49-F238E27FC236}">
              <a16:creationId xmlns:a16="http://schemas.microsoft.com/office/drawing/2014/main" id="{AA79FD9E-2A25-7D08-C190-53C56D95C4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79800" y="50546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30</xdr:row>
      <xdr:rowOff>0</xdr:rowOff>
    </xdr:from>
    <xdr:to>
      <xdr:col>5</xdr:col>
      <xdr:colOff>107950</xdr:colOff>
      <xdr:row>30</xdr:row>
      <xdr:rowOff>12700</xdr:rowOff>
    </xdr:to>
    <xdr:pic>
      <xdr:nvPicPr>
        <xdr:cNvPr id="23343" name="Picture 14" descr="PT_TAB1BII_1">
          <a:extLst>
            <a:ext uri="{FF2B5EF4-FFF2-40B4-BE49-F238E27FC236}">
              <a16:creationId xmlns:a16="http://schemas.microsoft.com/office/drawing/2014/main" id="{B4BE4FFF-664D-0789-F537-310BFC5301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37000" y="50546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30</xdr:row>
      <xdr:rowOff>0</xdr:rowOff>
    </xdr:from>
    <xdr:to>
      <xdr:col>1</xdr:col>
      <xdr:colOff>107950</xdr:colOff>
      <xdr:row>30</xdr:row>
      <xdr:rowOff>12700</xdr:rowOff>
    </xdr:to>
    <xdr:pic>
      <xdr:nvPicPr>
        <xdr:cNvPr id="23344" name="Picture 15" descr="PT_TAB1BII_1">
          <a:extLst>
            <a:ext uri="{FF2B5EF4-FFF2-40B4-BE49-F238E27FC236}">
              <a16:creationId xmlns:a16="http://schemas.microsoft.com/office/drawing/2014/main" id="{FA11A81E-D858-5B99-F97C-50EAEF6C70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 y="50546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30</xdr:row>
      <xdr:rowOff>0</xdr:rowOff>
    </xdr:from>
    <xdr:to>
      <xdr:col>5</xdr:col>
      <xdr:colOff>107950</xdr:colOff>
      <xdr:row>30</xdr:row>
      <xdr:rowOff>12700</xdr:rowOff>
    </xdr:to>
    <xdr:pic>
      <xdr:nvPicPr>
        <xdr:cNvPr id="23345" name="Picture 16" descr="PT_TAB1BII_1">
          <a:extLst>
            <a:ext uri="{FF2B5EF4-FFF2-40B4-BE49-F238E27FC236}">
              <a16:creationId xmlns:a16="http://schemas.microsoft.com/office/drawing/2014/main" id="{CC8BBD3D-5412-B350-769F-C24039F755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37000" y="505460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9</xdr:row>
      <xdr:rowOff>0</xdr:rowOff>
    </xdr:from>
    <xdr:to>
      <xdr:col>0</xdr:col>
      <xdr:colOff>82550</xdr:colOff>
      <xdr:row>9</xdr:row>
      <xdr:rowOff>6350</xdr:rowOff>
    </xdr:to>
    <xdr:pic>
      <xdr:nvPicPr>
        <xdr:cNvPr id="24338" name="Picture 1" descr="PT_TAB1LIX_1">
          <a:extLst>
            <a:ext uri="{FF2B5EF4-FFF2-40B4-BE49-F238E27FC236}">
              <a16:creationId xmlns:a16="http://schemas.microsoft.com/office/drawing/2014/main" id="{AF362BFE-9C25-4F7A-A06F-8708147AAD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74800"/>
          <a:ext cx="825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9</xdr:row>
      <xdr:rowOff>0</xdr:rowOff>
    </xdr:from>
    <xdr:to>
      <xdr:col>0</xdr:col>
      <xdr:colOff>107950</xdr:colOff>
      <xdr:row>9</xdr:row>
      <xdr:rowOff>6350</xdr:rowOff>
    </xdr:to>
    <xdr:pic>
      <xdr:nvPicPr>
        <xdr:cNvPr id="24339" name="Picture 2" descr="PT_TAB1BII_1">
          <a:extLst>
            <a:ext uri="{FF2B5EF4-FFF2-40B4-BE49-F238E27FC236}">
              <a16:creationId xmlns:a16="http://schemas.microsoft.com/office/drawing/2014/main" id="{C1B9FDC6-9CA5-4BB9-2934-6734E4376A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5748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xdr:row>
      <xdr:rowOff>0</xdr:rowOff>
    </xdr:from>
    <xdr:to>
      <xdr:col>3</xdr:col>
      <xdr:colOff>107950</xdr:colOff>
      <xdr:row>9</xdr:row>
      <xdr:rowOff>6350</xdr:rowOff>
    </xdr:to>
    <xdr:pic>
      <xdr:nvPicPr>
        <xdr:cNvPr id="24340" name="Picture 3" descr="PT_TAB1BII_1">
          <a:extLst>
            <a:ext uri="{FF2B5EF4-FFF2-40B4-BE49-F238E27FC236}">
              <a16:creationId xmlns:a16="http://schemas.microsoft.com/office/drawing/2014/main" id="{0EA5F9F8-6FA0-C352-10F9-59D587709F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73200" y="15748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9</xdr:row>
      <xdr:rowOff>0</xdr:rowOff>
    </xdr:from>
    <xdr:to>
      <xdr:col>1</xdr:col>
      <xdr:colOff>107950</xdr:colOff>
      <xdr:row>9</xdr:row>
      <xdr:rowOff>6350</xdr:rowOff>
    </xdr:to>
    <xdr:pic>
      <xdr:nvPicPr>
        <xdr:cNvPr id="24341" name="Picture 4" descr="PT_TAB1BII_1">
          <a:extLst>
            <a:ext uri="{FF2B5EF4-FFF2-40B4-BE49-F238E27FC236}">
              <a16:creationId xmlns:a16="http://schemas.microsoft.com/office/drawing/2014/main" id="{A4D54A40-D3BD-0DE7-50FC-58920E8D60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 y="15748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9</xdr:row>
      <xdr:rowOff>0</xdr:rowOff>
    </xdr:from>
    <xdr:to>
      <xdr:col>5</xdr:col>
      <xdr:colOff>107950</xdr:colOff>
      <xdr:row>9</xdr:row>
      <xdr:rowOff>6350</xdr:rowOff>
    </xdr:to>
    <xdr:pic>
      <xdr:nvPicPr>
        <xdr:cNvPr id="24342" name="Picture 5" descr="PT_TAB1BII_1">
          <a:extLst>
            <a:ext uri="{FF2B5EF4-FFF2-40B4-BE49-F238E27FC236}">
              <a16:creationId xmlns:a16="http://schemas.microsoft.com/office/drawing/2014/main" id="{598CB4EE-ADB3-A93F-BA30-2BAC66FEEC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79800" y="15748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9</xdr:row>
      <xdr:rowOff>0</xdr:rowOff>
    </xdr:from>
    <xdr:to>
      <xdr:col>5</xdr:col>
      <xdr:colOff>107950</xdr:colOff>
      <xdr:row>9</xdr:row>
      <xdr:rowOff>6350</xdr:rowOff>
    </xdr:to>
    <xdr:pic>
      <xdr:nvPicPr>
        <xdr:cNvPr id="24343" name="Picture 6" descr="PT_TAB1BII_1">
          <a:extLst>
            <a:ext uri="{FF2B5EF4-FFF2-40B4-BE49-F238E27FC236}">
              <a16:creationId xmlns:a16="http://schemas.microsoft.com/office/drawing/2014/main" id="{0691A291-AAFB-9B4E-30BA-6BDC08A530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79800" y="15748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9</xdr:row>
      <xdr:rowOff>0</xdr:rowOff>
    </xdr:from>
    <xdr:to>
      <xdr:col>1</xdr:col>
      <xdr:colOff>107950</xdr:colOff>
      <xdr:row>9</xdr:row>
      <xdr:rowOff>6350</xdr:rowOff>
    </xdr:to>
    <xdr:pic>
      <xdr:nvPicPr>
        <xdr:cNvPr id="24344" name="Picture 7" descr="PT_TAB1BII_1">
          <a:extLst>
            <a:ext uri="{FF2B5EF4-FFF2-40B4-BE49-F238E27FC236}">
              <a16:creationId xmlns:a16="http://schemas.microsoft.com/office/drawing/2014/main" id="{10FA430F-393A-E8C8-0A40-5D089B91D0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 y="15748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9</xdr:row>
      <xdr:rowOff>0</xdr:rowOff>
    </xdr:from>
    <xdr:to>
      <xdr:col>5</xdr:col>
      <xdr:colOff>107950</xdr:colOff>
      <xdr:row>9</xdr:row>
      <xdr:rowOff>6350</xdr:rowOff>
    </xdr:to>
    <xdr:pic>
      <xdr:nvPicPr>
        <xdr:cNvPr id="24345" name="Picture 8" descr="PT_TAB1BII_1">
          <a:extLst>
            <a:ext uri="{FF2B5EF4-FFF2-40B4-BE49-F238E27FC236}">
              <a16:creationId xmlns:a16="http://schemas.microsoft.com/office/drawing/2014/main" id="{FC8346C4-7CD1-7F21-4519-0FE403D95E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79800" y="1574800"/>
          <a:ext cx="107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30</xdr:row>
      <xdr:rowOff>0</xdr:rowOff>
    </xdr:from>
    <xdr:to>
      <xdr:col>0</xdr:col>
      <xdr:colOff>82550</xdr:colOff>
      <xdr:row>30</xdr:row>
      <xdr:rowOff>12700</xdr:rowOff>
    </xdr:to>
    <xdr:pic>
      <xdr:nvPicPr>
        <xdr:cNvPr id="24346" name="Picture 9" descr="PT_TAB1LIX_1">
          <a:extLst>
            <a:ext uri="{FF2B5EF4-FFF2-40B4-BE49-F238E27FC236}">
              <a16:creationId xmlns:a16="http://schemas.microsoft.com/office/drawing/2014/main" id="{959B9CC3-7B26-6BEE-8FFB-72E7CB0DC1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226050"/>
          <a:ext cx="825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30</xdr:row>
      <xdr:rowOff>0</xdr:rowOff>
    </xdr:from>
    <xdr:to>
      <xdr:col>0</xdr:col>
      <xdr:colOff>107950</xdr:colOff>
      <xdr:row>30</xdr:row>
      <xdr:rowOff>12700</xdr:rowOff>
    </xdr:to>
    <xdr:pic>
      <xdr:nvPicPr>
        <xdr:cNvPr id="24347" name="Picture 10" descr="PT_TAB1BII_1">
          <a:extLst>
            <a:ext uri="{FF2B5EF4-FFF2-40B4-BE49-F238E27FC236}">
              <a16:creationId xmlns:a16="http://schemas.microsoft.com/office/drawing/2014/main" id="{9BC23356-5523-E8C6-2A31-1CFB736BF3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22605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30</xdr:row>
      <xdr:rowOff>0</xdr:rowOff>
    </xdr:from>
    <xdr:to>
      <xdr:col>3</xdr:col>
      <xdr:colOff>107950</xdr:colOff>
      <xdr:row>30</xdr:row>
      <xdr:rowOff>12700</xdr:rowOff>
    </xdr:to>
    <xdr:pic>
      <xdr:nvPicPr>
        <xdr:cNvPr id="24348" name="Picture 11" descr="PT_TAB1BII_1">
          <a:extLst>
            <a:ext uri="{FF2B5EF4-FFF2-40B4-BE49-F238E27FC236}">
              <a16:creationId xmlns:a16="http://schemas.microsoft.com/office/drawing/2014/main" id="{301DC5F1-1EEE-58DA-00D0-809E1CF071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73200" y="522605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30</xdr:row>
      <xdr:rowOff>0</xdr:rowOff>
    </xdr:from>
    <xdr:to>
      <xdr:col>1</xdr:col>
      <xdr:colOff>107950</xdr:colOff>
      <xdr:row>30</xdr:row>
      <xdr:rowOff>12700</xdr:rowOff>
    </xdr:to>
    <xdr:pic>
      <xdr:nvPicPr>
        <xdr:cNvPr id="24349" name="Picture 12" descr="PT_TAB1BII_1">
          <a:extLst>
            <a:ext uri="{FF2B5EF4-FFF2-40B4-BE49-F238E27FC236}">
              <a16:creationId xmlns:a16="http://schemas.microsoft.com/office/drawing/2014/main" id="{566BADA8-10D7-42F1-2A34-C3CFA319D5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 y="522605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30</xdr:row>
      <xdr:rowOff>0</xdr:rowOff>
    </xdr:from>
    <xdr:to>
      <xdr:col>5</xdr:col>
      <xdr:colOff>107950</xdr:colOff>
      <xdr:row>30</xdr:row>
      <xdr:rowOff>12700</xdr:rowOff>
    </xdr:to>
    <xdr:pic>
      <xdr:nvPicPr>
        <xdr:cNvPr id="24350" name="Picture 13" descr="PT_TAB1BII_1">
          <a:extLst>
            <a:ext uri="{FF2B5EF4-FFF2-40B4-BE49-F238E27FC236}">
              <a16:creationId xmlns:a16="http://schemas.microsoft.com/office/drawing/2014/main" id="{6570A657-C6F6-2370-0079-DC179CD72D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79800" y="522605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30</xdr:row>
      <xdr:rowOff>0</xdr:rowOff>
    </xdr:from>
    <xdr:to>
      <xdr:col>5</xdr:col>
      <xdr:colOff>107950</xdr:colOff>
      <xdr:row>30</xdr:row>
      <xdr:rowOff>12700</xdr:rowOff>
    </xdr:to>
    <xdr:pic>
      <xdr:nvPicPr>
        <xdr:cNvPr id="24351" name="Picture 14" descr="PT_TAB1BII_1">
          <a:extLst>
            <a:ext uri="{FF2B5EF4-FFF2-40B4-BE49-F238E27FC236}">
              <a16:creationId xmlns:a16="http://schemas.microsoft.com/office/drawing/2014/main" id="{2C59B138-1F03-14A5-F8F5-E0D693EB88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79800" y="522605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30</xdr:row>
      <xdr:rowOff>0</xdr:rowOff>
    </xdr:from>
    <xdr:to>
      <xdr:col>1</xdr:col>
      <xdr:colOff>107950</xdr:colOff>
      <xdr:row>30</xdr:row>
      <xdr:rowOff>12700</xdr:rowOff>
    </xdr:to>
    <xdr:pic>
      <xdr:nvPicPr>
        <xdr:cNvPr id="24352" name="Picture 15" descr="PT_TAB1BII_1">
          <a:extLst>
            <a:ext uri="{FF2B5EF4-FFF2-40B4-BE49-F238E27FC236}">
              <a16:creationId xmlns:a16="http://schemas.microsoft.com/office/drawing/2014/main" id="{708B02EE-09DD-D710-68FE-DB160689AA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 y="522605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30</xdr:row>
      <xdr:rowOff>0</xdr:rowOff>
    </xdr:from>
    <xdr:to>
      <xdr:col>5</xdr:col>
      <xdr:colOff>107950</xdr:colOff>
      <xdr:row>30</xdr:row>
      <xdr:rowOff>12700</xdr:rowOff>
    </xdr:to>
    <xdr:pic>
      <xdr:nvPicPr>
        <xdr:cNvPr id="24353" name="Picture 16" descr="PT_TAB1BII_1">
          <a:extLst>
            <a:ext uri="{FF2B5EF4-FFF2-40B4-BE49-F238E27FC236}">
              <a16:creationId xmlns:a16="http://schemas.microsoft.com/office/drawing/2014/main" id="{375ED361-9A94-91F3-7B23-88F4F087F7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79800" y="5226050"/>
          <a:ext cx="1079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1.bin"/><Relationship Id="rId4" Type="http://schemas.openxmlformats.org/officeDocument/2006/relationships/comments" Target="../comments10.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2.bin"/><Relationship Id="rId4" Type="http://schemas.openxmlformats.org/officeDocument/2006/relationships/comments" Target="../comments11.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3.bin"/><Relationship Id="rId4" Type="http://schemas.openxmlformats.org/officeDocument/2006/relationships/comments" Target="../comments12.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14.bin"/><Relationship Id="rId4" Type="http://schemas.openxmlformats.org/officeDocument/2006/relationships/comments" Target="../comments13.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4.xml"/><Relationship Id="rId1" Type="http://schemas.openxmlformats.org/officeDocument/2006/relationships/printerSettings" Target="../printerSettings/printerSettings15.bin"/><Relationship Id="rId4" Type="http://schemas.openxmlformats.org/officeDocument/2006/relationships/comments" Target="../comments14.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5.xml"/><Relationship Id="rId1" Type="http://schemas.openxmlformats.org/officeDocument/2006/relationships/printerSettings" Target="../printerSettings/printerSettings16.bin"/><Relationship Id="rId4" Type="http://schemas.openxmlformats.org/officeDocument/2006/relationships/comments" Target="../comments15.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X38"/>
  <sheetViews>
    <sheetView workbookViewId="0">
      <selection activeCell="A12" sqref="A12:IV12"/>
    </sheetView>
  </sheetViews>
  <sheetFormatPr defaultColWidth="9.265625" defaultRowHeight="12.75"/>
  <cols>
    <col min="1" max="1" width="7.73046875" style="19" customWidth="1"/>
    <col min="2" max="2" width="6.265625" style="20" customWidth="1"/>
    <col min="3" max="3" width="5.73046875" style="19" customWidth="1"/>
    <col min="4" max="4" width="28.73046875" style="19" customWidth="1"/>
    <col min="5" max="5" width="6.73046875" style="19" customWidth="1"/>
    <col min="6" max="6" width="6.265625" style="19" customWidth="1"/>
    <col min="7" max="7" width="2.59765625" style="19" customWidth="1"/>
    <col min="8" max="11" width="7.59765625" style="19" bestFit="1" customWidth="1"/>
    <col min="12" max="12" width="7.73046875" style="19" bestFit="1" customWidth="1"/>
    <col min="13" max="13" width="8.59765625" style="19" bestFit="1" customWidth="1"/>
    <col min="14" max="14" width="8.73046875" style="19" customWidth="1"/>
    <col min="15" max="15" width="9.265625" style="19" bestFit="1" customWidth="1"/>
    <col min="16" max="16384" width="9.265625" style="19"/>
  </cols>
  <sheetData>
    <row r="1" spans="1:15" ht="20.65">
      <c r="A1" s="185" t="s">
        <v>0</v>
      </c>
      <c r="B1" s="185"/>
      <c r="C1" s="185"/>
      <c r="D1" s="185"/>
      <c r="E1" s="185"/>
      <c r="F1" s="185"/>
      <c r="G1" s="185"/>
      <c r="H1" s="185"/>
      <c r="I1" s="185"/>
      <c r="J1" s="185"/>
      <c r="K1" s="185"/>
      <c r="L1" s="185"/>
      <c r="M1" s="185"/>
    </row>
    <row r="2" spans="1:15" ht="13.15">
      <c r="A2" s="1"/>
      <c r="B2" s="2"/>
      <c r="C2" s="3"/>
      <c r="D2" s="2"/>
      <c r="E2" s="2"/>
      <c r="F2" s="4"/>
      <c r="G2" s="4"/>
      <c r="H2" s="4"/>
      <c r="I2" s="4"/>
      <c r="J2" s="4"/>
      <c r="K2" s="4"/>
      <c r="L2" s="4"/>
      <c r="M2" s="4"/>
    </row>
    <row r="3" spans="1:15" ht="13.15">
      <c r="A3" s="1" t="s">
        <v>1</v>
      </c>
      <c r="B3" s="4"/>
      <c r="C3" s="1"/>
      <c r="D3" s="4"/>
      <c r="E3" s="4"/>
      <c r="F3" s="4"/>
      <c r="G3" s="4"/>
      <c r="H3" s="4"/>
      <c r="I3" s="4"/>
      <c r="J3" s="4"/>
      <c r="K3" s="4"/>
      <c r="L3" s="4"/>
      <c r="M3" s="4"/>
    </row>
    <row r="4" spans="1:15" ht="13.15">
      <c r="A4" s="5" t="s">
        <v>35</v>
      </c>
      <c r="B4" s="4"/>
      <c r="C4" s="1"/>
      <c r="D4" s="4"/>
      <c r="E4" s="4"/>
      <c r="F4" s="4"/>
      <c r="G4" s="4"/>
      <c r="H4" s="4"/>
      <c r="I4" s="6"/>
      <c r="J4" s="4"/>
      <c r="K4" s="4"/>
      <c r="L4" s="6"/>
      <c r="M4" s="4"/>
    </row>
    <row r="5" spans="1:15" ht="7.5" customHeight="1">
      <c r="A5" s="5"/>
      <c r="B5" s="4"/>
      <c r="C5" s="1"/>
      <c r="D5" s="4"/>
      <c r="E5" s="4"/>
      <c r="F5" s="4"/>
      <c r="G5" s="4"/>
      <c r="H5" s="4"/>
      <c r="I5" s="6"/>
      <c r="J5" s="4"/>
      <c r="K5" s="4"/>
      <c r="L5" s="6"/>
      <c r="M5" s="4"/>
      <c r="N5" s="4"/>
    </row>
    <row r="6" spans="1:15" ht="26.65" thickBot="1">
      <c r="A6" s="34" t="s">
        <v>36</v>
      </c>
      <c r="B6" s="34" t="s">
        <v>37</v>
      </c>
      <c r="C6" s="34" t="s">
        <v>2</v>
      </c>
      <c r="D6" s="34" t="s">
        <v>38</v>
      </c>
      <c r="E6" s="34" t="s">
        <v>39</v>
      </c>
      <c r="F6" s="34" t="s">
        <v>40</v>
      </c>
      <c r="G6" s="35" t="s">
        <v>3</v>
      </c>
      <c r="H6" s="36" t="s">
        <v>41</v>
      </c>
      <c r="I6" s="36" t="s">
        <v>42</v>
      </c>
      <c r="J6" s="36" t="s">
        <v>43</v>
      </c>
      <c r="K6" s="36" t="s">
        <v>44</v>
      </c>
      <c r="L6" s="36" t="s">
        <v>45</v>
      </c>
      <c r="M6" s="36" t="s">
        <v>46</v>
      </c>
      <c r="N6" s="36" t="s">
        <v>47</v>
      </c>
      <c r="O6" s="36" t="s">
        <v>56</v>
      </c>
    </row>
    <row r="7" spans="1:15" ht="13.15" thickTop="1">
      <c r="A7" s="33" t="s">
        <v>4</v>
      </c>
      <c r="B7" s="33">
        <v>6</v>
      </c>
      <c r="C7" s="33" t="s">
        <v>48</v>
      </c>
      <c r="D7" s="32" t="s">
        <v>5</v>
      </c>
      <c r="E7" s="33">
        <v>650</v>
      </c>
      <c r="F7" s="33">
        <v>14</v>
      </c>
      <c r="G7" s="19" t="s">
        <v>6</v>
      </c>
      <c r="H7" s="37">
        <v>79526</v>
      </c>
      <c r="I7" s="37">
        <v>83516</v>
      </c>
      <c r="J7" s="37">
        <v>87694</v>
      </c>
      <c r="K7" s="37">
        <v>92062</v>
      </c>
      <c r="L7" s="37">
        <v>96669</v>
      </c>
      <c r="M7" s="37">
        <v>101516</v>
      </c>
      <c r="N7" s="37">
        <v>106579</v>
      </c>
      <c r="O7" s="38">
        <f>N7*1.0188</f>
        <v>108582.68519999999</v>
      </c>
    </row>
    <row r="8" spans="1:15">
      <c r="A8" s="33" t="s">
        <v>7</v>
      </c>
      <c r="B8" s="33">
        <v>5</v>
      </c>
      <c r="C8" s="33" t="s">
        <v>48</v>
      </c>
      <c r="D8" s="32" t="s">
        <v>49</v>
      </c>
      <c r="E8" s="33">
        <v>610</v>
      </c>
      <c r="F8" s="33">
        <v>13</v>
      </c>
      <c r="G8" s="19" t="s">
        <v>6</v>
      </c>
      <c r="H8" s="37">
        <v>73980.001000000004</v>
      </c>
      <c r="I8" s="37">
        <v>77705</v>
      </c>
      <c r="J8" s="37">
        <v>81588</v>
      </c>
      <c r="K8" s="37">
        <v>85658.998999999996</v>
      </c>
      <c r="L8" s="37">
        <v>89944.998999999996</v>
      </c>
      <c r="M8" s="37">
        <v>94445</v>
      </c>
      <c r="N8" s="37">
        <v>99159</v>
      </c>
      <c r="O8" s="38">
        <f>N8*1.0188</f>
        <v>101023.18919999999</v>
      </c>
    </row>
    <row r="9" spans="1:15">
      <c r="A9" s="33" t="s">
        <v>8</v>
      </c>
      <c r="B9" s="33">
        <v>13</v>
      </c>
      <c r="C9" s="33" t="s">
        <v>48</v>
      </c>
      <c r="D9" s="32" t="s">
        <v>50</v>
      </c>
      <c r="E9" s="33">
        <v>395</v>
      </c>
      <c r="F9" s="33">
        <v>8</v>
      </c>
      <c r="G9" s="19" t="s">
        <v>6</v>
      </c>
      <c r="H9" s="37">
        <v>40105</v>
      </c>
      <c r="I9" s="37">
        <v>42953</v>
      </c>
      <c r="J9" s="37">
        <v>45470.999000000003</v>
      </c>
      <c r="K9" s="37">
        <v>48167.999000000003</v>
      </c>
      <c r="L9" s="37">
        <v>51105.999000000003</v>
      </c>
      <c r="M9" s="37">
        <v>53951</v>
      </c>
      <c r="N9" s="37">
        <v>57877.999000000003</v>
      </c>
      <c r="O9" s="38">
        <f t="shared" ref="O9:O18" si="0">N9*1.0188</f>
        <v>58966.105381200003</v>
      </c>
    </row>
    <row r="10" spans="1:15">
      <c r="A10" s="33" t="s">
        <v>12</v>
      </c>
      <c r="B10" s="33">
        <v>5</v>
      </c>
      <c r="C10" s="33" t="s">
        <v>48</v>
      </c>
      <c r="D10" s="32" t="s">
        <v>51</v>
      </c>
      <c r="E10" s="33">
        <v>600</v>
      </c>
      <c r="F10" s="33">
        <v>13</v>
      </c>
      <c r="G10" s="19" t="s">
        <v>6</v>
      </c>
      <c r="H10" s="37">
        <v>73980.001000000004</v>
      </c>
      <c r="I10" s="37">
        <v>77705</v>
      </c>
      <c r="J10" s="37">
        <v>81588</v>
      </c>
      <c r="K10" s="37">
        <v>85658.998999999996</v>
      </c>
      <c r="L10" s="37">
        <v>89944.998999999996</v>
      </c>
      <c r="M10" s="37">
        <v>94445</v>
      </c>
      <c r="N10" s="37">
        <v>99159</v>
      </c>
      <c r="O10" s="38">
        <f t="shared" si="0"/>
        <v>101023.18919999999</v>
      </c>
    </row>
    <row r="11" spans="1:15">
      <c r="A11" s="33" t="s">
        <v>13</v>
      </c>
      <c r="B11" s="33">
        <v>1</v>
      </c>
      <c r="C11" s="33" t="s">
        <v>48</v>
      </c>
      <c r="D11" s="32" t="s">
        <v>14</v>
      </c>
      <c r="E11" s="33">
        <v>470</v>
      </c>
      <c r="F11" s="33">
        <v>10</v>
      </c>
      <c r="G11" s="19" t="s">
        <v>6</v>
      </c>
      <c r="H11" s="37">
        <v>57267.000999999997</v>
      </c>
      <c r="I11" s="37">
        <v>60133</v>
      </c>
      <c r="J11" s="37">
        <v>63134.000999999997</v>
      </c>
      <c r="K11" s="37">
        <v>66293.998999999996</v>
      </c>
      <c r="L11" s="37">
        <v>69616</v>
      </c>
      <c r="M11" s="37">
        <v>73098</v>
      </c>
      <c r="N11" s="37">
        <v>76741.001000000004</v>
      </c>
      <c r="O11" s="38">
        <f t="shared" si="0"/>
        <v>78183.731818799992</v>
      </c>
    </row>
    <row r="12" spans="1:15">
      <c r="A12" s="33" t="s">
        <v>9</v>
      </c>
      <c r="B12" s="33">
        <v>4</v>
      </c>
      <c r="C12" s="33" t="s">
        <v>48</v>
      </c>
      <c r="D12" s="32" t="s">
        <v>52</v>
      </c>
      <c r="E12" s="33">
        <v>578</v>
      </c>
      <c r="F12" s="33">
        <v>12</v>
      </c>
      <c r="G12" s="19" t="s">
        <v>6</v>
      </c>
      <c r="H12" s="37">
        <v>70123</v>
      </c>
      <c r="I12" s="37">
        <v>73633.998999999996</v>
      </c>
      <c r="J12" s="37">
        <v>77302</v>
      </c>
      <c r="K12" s="37">
        <v>81160</v>
      </c>
      <c r="L12" s="37">
        <v>85230.998999999996</v>
      </c>
      <c r="M12" s="37">
        <v>89489.998999999996</v>
      </c>
      <c r="N12" s="37">
        <v>93961.998999999996</v>
      </c>
      <c r="O12" s="38">
        <f t="shared" si="0"/>
        <v>95728.484581199984</v>
      </c>
    </row>
    <row r="13" spans="1:15">
      <c r="A13" s="33" t="s">
        <v>10</v>
      </c>
      <c r="B13" s="33">
        <v>1</v>
      </c>
      <c r="C13" s="33" t="s">
        <v>48</v>
      </c>
      <c r="D13" s="32" t="s">
        <v>53</v>
      </c>
      <c r="E13" s="33">
        <v>485</v>
      </c>
      <c r="F13" s="33">
        <v>10</v>
      </c>
      <c r="G13" s="19" t="s">
        <v>6</v>
      </c>
      <c r="H13" s="37">
        <v>57267.000999999997</v>
      </c>
      <c r="I13" s="37">
        <v>60133</v>
      </c>
      <c r="J13" s="37">
        <v>63134.000999999997</v>
      </c>
      <c r="K13" s="37">
        <v>66293.998999999996</v>
      </c>
      <c r="L13" s="37">
        <v>69616</v>
      </c>
      <c r="M13" s="37">
        <v>73098</v>
      </c>
      <c r="N13" s="37">
        <v>76741.001000000004</v>
      </c>
      <c r="O13" s="38">
        <f t="shared" si="0"/>
        <v>78183.731818799992</v>
      </c>
    </row>
    <row r="14" spans="1:15">
      <c r="A14" s="33" t="s">
        <v>11</v>
      </c>
      <c r="B14" s="33">
        <v>2</v>
      </c>
      <c r="C14" s="33" t="s">
        <v>48</v>
      </c>
      <c r="D14" s="32" t="s">
        <v>54</v>
      </c>
      <c r="E14" s="33">
        <v>523</v>
      </c>
      <c r="F14" s="33">
        <v>11</v>
      </c>
      <c r="G14" s="19" t="s">
        <v>6</v>
      </c>
      <c r="H14" s="37">
        <v>63748.999000000003</v>
      </c>
      <c r="I14" s="37">
        <v>66938</v>
      </c>
      <c r="J14" s="37">
        <v>70283.998999999996</v>
      </c>
      <c r="K14" s="37">
        <v>73794.998999999996</v>
      </c>
      <c r="L14" s="37">
        <v>77489.998999999996</v>
      </c>
      <c r="M14" s="37">
        <v>81346.998999999996</v>
      </c>
      <c r="N14" s="37">
        <v>85419</v>
      </c>
      <c r="O14" s="38">
        <f t="shared" si="0"/>
        <v>87024.877199999988</v>
      </c>
    </row>
    <row r="15" spans="1:15">
      <c r="A15" s="33" t="s">
        <v>15</v>
      </c>
      <c r="B15" s="33">
        <v>5</v>
      </c>
      <c r="C15" s="33" t="s">
        <v>48</v>
      </c>
      <c r="D15" s="32" t="s">
        <v>55</v>
      </c>
      <c r="E15" s="33">
        <v>600</v>
      </c>
      <c r="F15" s="33">
        <v>13</v>
      </c>
      <c r="G15" s="19" t="s">
        <v>6</v>
      </c>
      <c r="H15" s="37">
        <v>73980.001000000004</v>
      </c>
      <c r="I15" s="37">
        <v>77705</v>
      </c>
      <c r="J15" s="37">
        <v>81588</v>
      </c>
      <c r="K15" s="37">
        <v>85658.998999999996</v>
      </c>
      <c r="L15" s="37">
        <v>89944.998999999996</v>
      </c>
      <c r="M15" s="37">
        <v>94445</v>
      </c>
      <c r="N15" s="37">
        <v>99159</v>
      </c>
      <c r="O15" s="38">
        <f t="shared" si="0"/>
        <v>101023.18919999999</v>
      </c>
    </row>
    <row r="16" spans="1:15">
      <c r="A16" s="33" t="s">
        <v>16</v>
      </c>
      <c r="B16" s="33">
        <v>5</v>
      </c>
      <c r="C16" s="33" t="s">
        <v>48</v>
      </c>
      <c r="D16" s="32" t="s">
        <v>17</v>
      </c>
      <c r="E16" s="33">
        <v>625</v>
      </c>
      <c r="F16" s="33">
        <v>13</v>
      </c>
      <c r="G16" s="19" t="s">
        <v>6</v>
      </c>
      <c r="H16" s="37">
        <v>73980.001000000004</v>
      </c>
      <c r="I16" s="37">
        <v>77705</v>
      </c>
      <c r="J16" s="37">
        <v>81588</v>
      </c>
      <c r="K16" s="37">
        <v>85658.998999999996</v>
      </c>
      <c r="L16" s="37">
        <v>89944.998999999996</v>
      </c>
      <c r="M16" s="37">
        <v>94445</v>
      </c>
      <c r="N16" s="37">
        <v>99159</v>
      </c>
      <c r="O16" s="38">
        <f t="shared" si="0"/>
        <v>101023.18919999999</v>
      </c>
    </row>
    <row r="17" spans="1:24">
      <c r="A17" s="33" t="s">
        <v>18</v>
      </c>
      <c r="B17" s="33">
        <v>5</v>
      </c>
      <c r="C17" s="33" t="s">
        <v>48</v>
      </c>
      <c r="D17" s="32" t="s">
        <v>19</v>
      </c>
      <c r="E17" s="33">
        <v>588</v>
      </c>
      <c r="F17" s="33">
        <v>13</v>
      </c>
      <c r="G17" s="19" t="s">
        <v>6</v>
      </c>
      <c r="H17" s="37">
        <v>73980.001000000004</v>
      </c>
      <c r="I17" s="37">
        <v>77705</v>
      </c>
      <c r="J17" s="37">
        <v>81588</v>
      </c>
      <c r="K17" s="37">
        <v>85658.998999999996</v>
      </c>
      <c r="L17" s="37">
        <v>89944.998999999996</v>
      </c>
      <c r="M17" s="37">
        <v>94445</v>
      </c>
      <c r="N17" s="37">
        <v>99159</v>
      </c>
      <c r="O17" s="38">
        <f t="shared" si="0"/>
        <v>101023.18919999999</v>
      </c>
    </row>
    <row r="18" spans="1:24">
      <c r="A18" s="33" t="s">
        <v>20</v>
      </c>
      <c r="B18" s="33">
        <v>5</v>
      </c>
      <c r="C18" s="33" t="s">
        <v>48</v>
      </c>
      <c r="D18" s="32" t="s">
        <v>21</v>
      </c>
      <c r="E18" s="33">
        <v>610</v>
      </c>
      <c r="F18" s="33">
        <v>13</v>
      </c>
      <c r="G18" s="19" t="s">
        <v>6</v>
      </c>
      <c r="H18" s="37">
        <v>73980.001000000004</v>
      </c>
      <c r="I18" s="37">
        <v>77705</v>
      </c>
      <c r="J18" s="37">
        <v>81588</v>
      </c>
      <c r="K18" s="37">
        <v>85658.998999999996</v>
      </c>
      <c r="L18" s="37">
        <v>89944.998999999996</v>
      </c>
      <c r="M18" s="37">
        <v>94445</v>
      </c>
      <c r="N18" s="37">
        <v>99159</v>
      </c>
      <c r="O18" s="38">
        <f t="shared" si="0"/>
        <v>101023.18919999999</v>
      </c>
    </row>
    <row r="19" spans="1:24">
      <c r="A19" s="33"/>
      <c r="B19" s="33"/>
      <c r="C19" s="33"/>
      <c r="D19" s="32"/>
      <c r="E19" s="33"/>
      <c r="F19" s="33"/>
      <c r="H19" s="37"/>
      <c r="I19" s="37"/>
      <c r="J19" s="37"/>
      <c r="K19" s="37"/>
      <c r="L19" s="37"/>
      <c r="M19" s="37"/>
      <c r="N19" s="37"/>
      <c r="O19" s="38"/>
    </row>
    <row r="20" spans="1:24">
      <c r="A20" s="21" t="s">
        <v>58</v>
      </c>
      <c r="G20" s="25"/>
      <c r="H20" s="25"/>
      <c r="I20" s="25"/>
      <c r="J20" s="25"/>
      <c r="K20" s="25"/>
      <c r="L20" s="25"/>
      <c r="M20" s="25"/>
    </row>
    <row r="21" spans="1:24">
      <c r="A21" s="39" t="s">
        <v>57</v>
      </c>
    </row>
    <row r="22" spans="1:24" ht="8.25" customHeight="1"/>
    <row r="23" spans="1:24">
      <c r="A23" s="8" t="s">
        <v>22</v>
      </c>
      <c r="B23" s="7"/>
      <c r="C23" s="26"/>
      <c r="D23" s="9"/>
      <c r="E23" s="10"/>
      <c r="F23" s="11"/>
      <c r="G23" s="11"/>
      <c r="H23" s="12"/>
      <c r="I23" s="12"/>
      <c r="J23" s="26"/>
      <c r="K23" s="26"/>
    </row>
    <row r="24" spans="1:24">
      <c r="A24" s="13" t="s">
        <v>23</v>
      </c>
      <c r="B24" s="7"/>
      <c r="C24" s="26"/>
      <c r="D24" s="14"/>
      <c r="E24" s="15"/>
      <c r="F24" s="16"/>
      <c r="G24" s="16"/>
      <c r="H24" s="17"/>
      <c r="I24" s="17"/>
      <c r="J24" s="26"/>
      <c r="K24" s="26"/>
    </row>
    <row r="25" spans="1:24">
      <c r="A25" s="37">
        <f>X25*1.02</f>
        <v>498.78000000000003</v>
      </c>
      <c r="B25" s="27" t="s">
        <v>24</v>
      </c>
      <c r="C25" s="26"/>
      <c r="D25" s="7"/>
      <c r="E25" s="28"/>
      <c r="F25" s="28"/>
      <c r="G25" s="28"/>
      <c r="H25" s="21"/>
      <c r="I25" s="22"/>
      <c r="J25" s="26"/>
      <c r="K25" s="26"/>
      <c r="X25" s="18">
        <v>489</v>
      </c>
    </row>
    <row r="26" spans="1:24">
      <c r="A26" s="37">
        <f>X26*1.02</f>
        <v>699.72</v>
      </c>
      <c r="B26" s="27" t="s">
        <v>25</v>
      </c>
      <c r="C26" s="26"/>
      <c r="D26" s="7"/>
      <c r="E26" s="28"/>
      <c r="F26" s="28"/>
      <c r="G26" s="28"/>
      <c r="H26" s="21"/>
      <c r="I26" s="22"/>
      <c r="J26" s="26"/>
      <c r="K26" s="26"/>
      <c r="X26" s="18">
        <v>686</v>
      </c>
    </row>
    <row r="27" spans="1:24">
      <c r="A27" s="37">
        <f>X27*1.02</f>
        <v>848.64</v>
      </c>
      <c r="B27" s="29" t="s">
        <v>26</v>
      </c>
      <c r="C27" s="26"/>
      <c r="D27" s="7"/>
      <c r="E27" s="22"/>
      <c r="F27" s="22"/>
      <c r="G27" s="22"/>
      <c r="H27" s="21"/>
      <c r="I27" s="22"/>
      <c r="J27" s="26"/>
      <c r="K27" s="26"/>
      <c r="X27" s="18">
        <v>832</v>
      </c>
    </row>
    <row r="28" spans="1:24">
      <c r="A28" s="37">
        <f>X28*1.02</f>
        <v>1000.62</v>
      </c>
      <c r="B28" s="29" t="s">
        <v>27</v>
      </c>
      <c r="C28" s="26"/>
      <c r="D28" s="7"/>
      <c r="E28" s="22"/>
      <c r="F28" s="22"/>
      <c r="G28" s="22"/>
      <c r="H28" s="21"/>
      <c r="I28" s="21"/>
      <c r="J28" s="26"/>
      <c r="K28" s="26"/>
      <c r="X28" s="18">
        <v>981</v>
      </c>
    </row>
    <row r="29" spans="1:24">
      <c r="B29" s="7"/>
      <c r="C29" s="26"/>
      <c r="D29" s="7"/>
      <c r="E29" s="22"/>
      <c r="F29" s="22"/>
      <c r="G29" s="22"/>
      <c r="H29" s="23"/>
      <c r="I29" s="22"/>
      <c r="J29" s="26"/>
      <c r="K29" s="26"/>
    </row>
    <row r="30" spans="1:24" ht="8.25" customHeight="1">
      <c r="A30" s="24"/>
      <c r="B30" s="7"/>
      <c r="C30" s="26"/>
      <c r="D30" s="7"/>
      <c r="E30" s="22"/>
      <c r="F30" s="22"/>
      <c r="G30" s="22"/>
      <c r="H30" s="22"/>
      <c r="I30" s="23"/>
      <c r="J30" s="26"/>
      <c r="K30" s="26"/>
    </row>
    <row r="31" spans="1:24" ht="13.15">
      <c r="A31" s="30" t="s">
        <v>28</v>
      </c>
    </row>
    <row r="32" spans="1:24">
      <c r="A32" s="31" t="s">
        <v>29</v>
      </c>
      <c r="B32" s="7"/>
      <c r="C32" s="26"/>
      <c r="D32" s="26"/>
      <c r="E32" s="26"/>
      <c r="F32" s="26"/>
      <c r="G32" s="26"/>
      <c r="H32" s="26"/>
      <c r="I32" s="26"/>
      <c r="J32" s="26"/>
      <c r="K32" s="26"/>
    </row>
    <row r="33" spans="1:1">
      <c r="A33" s="19" t="s">
        <v>30</v>
      </c>
    </row>
    <row r="34" spans="1:1">
      <c r="A34" s="19" t="s">
        <v>31</v>
      </c>
    </row>
    <row r="36" spans="1:1" ht="13.15">
      <c r="A36" s="30" t="s">
        <v>32</v>
      </c>
    </row>
    <row r="37" spans="1:1">
      <c r="A37" s="19" t="s">
        <v>33</v>
      </c>
    </row>
    <row r="38" spans="1:1">
      <c r="A38" s="26" t="s">
        <v>34</v>
      </c>
    </row>
  </sheetData>
  <mergeCells count="1">
    <mergeCell ref="A1:M1"/>
  </mergeCells>
  <phoneticPr fontId="0" type="noConversion"/>
  <pageMargins left="0.25" right="0.25" top="1" bottom="0.5" header="0.5" footer="0.5"/>
  <pageSetup orientation="landscape"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O37"/>
  <sheetViews>
    <sheetView zoomScaleNormal="100" workbookViewId="0">
      <selection activeCell="N11" sqref="N11"/>
    </sheetView>
  </sheetViews>
  <sheetFormatPr defaultColWidth="9.265625" defaultRowHeight="12.75"/>
  <cols>
    <col min="1" max="1" width="9" style="54" customWidth="1"/>
    <col min="2" max="2" width="6.265625" style="74" customWidth="1"/>
    <col min="3" max="3" width="5.73046875" style="54" customWidth="1"/>
    <col min="4" max="4" width="28.73046875" style="54" customWidth="1"/>
    <col min="5" max="5" width="6.59765625" style="54" hidden="1" customWidth="1"/>
    <col min="6" max="6" width="6.265625" style="54" customWidth="1"/>
    <col min="7" max="7" width="2.59765625" style="54" customWidth="1"/>
    <col min="8" max="8" width="10.265625" style="54" hidden="1" customWidth="1"/>
    <col min="9" max="9" width="11.73046875" style="54" customWidth="1"/>
    <col min="10" max="10" width="10.265625" style="54" customWidth="1"/>
    <col min="11" max="11" width="9.73046875" style="54" customWidth="1"/>
    <col min="12" max="13" width="10.59765625" style="54" customWidth="1"/>
    <col min="14" max="14" width="9.73046875" style="54" customWidth="1"/>
    <col min="15" max="16" width="9.265625" style="54" customWidth="1"/>
    <col min="17" max="16384" width="9.265625" style="54"/>
  </cols>
  <sheetData>
    <row r="1" spans="1:15" ht="20.65">
      <c r="A1" s="186" t="s">
        <v>0</v>
      </c>
      <c r="B1" s="186"/>
      <c r="C1" s="186"/>
      <c r="D1" s="186"/>
      <c r="E1" s="186"/>
      <c r="F1" s="186"/>
      <c r="G1" s="186"/>
      <c r="H1" s="186"/>
      <c r="I1" s="186"/>
      <c r="J1" s="186"/>
      <c r="K1" s="186"/>
      <c r="L1" s="186"/>
      <c r="M1" s="186"/>
    </row>
    <row r="2" spans="1:15" ht="13.15">
      <c r="A2" s="55"/>
      <c r="B2" s="56"/>
      <c r="C2" s="57"/>
      <c r="D2" s="56"/>
      <c r="E2" s="56"/>
      <c r="F2" s="58"/>
      <c r="G2" s="58"/>
      <c r="H2" s="58"/>
      <c r="I2" s="58"/>
      <c r="J2" s="58"/>
      <c r="K2" s="58"/>
      <c r="L2" s="58"/>
      <c r="M2" s="58"/>
    </row>
    <row r="3" spans="1:15" ht="13.15">
      <c r="A3" s="55" t="s">
        <v>1</v>
      </c>
      <c r="B3" s="58"/>
      <c r="C3" s="55"/>
      <c r="D3" s="58"/>
      <c r="E3" s="58"/>
      <c r="F3" s="58"/>
      <c r="G3" s="58"/>
      <c r="H3" s="58"/>
      <c r="I3" s="58"/>
      <c r="J3" s="58"/>
      <c r="K3" s="58"/>
      <c r="L3" s="58"/>
      <c r="M3" s="58"/>
    </row>
    <row r="4" spans="1:15" ht="13.15">
      <c r="A4" s="59" t="s">
        <v>115</v>
      </c>
      <c r="B4" s="58"/>
      <c r="C4" s="55"/>
      <c r="D4" s="58"/>
      <c r="E4" s="58"/>
      <c r="F4" s="58"/>
      <c r="G4" s="58"/>
      <c r="H4" s="58"/>
      <c r="I4" s="58"/>
      <c r="J4" s="58"/>
      <c r="K4" s="58"/>
      <c r="L4" s="58"/>
      <c r="M4" s="58"/>
    </row>
    <row r="5" spans="1:15" ht="13.15">
      <c r="A5" s="55"/>
      <c r="B5" s="55" t="s">
        <v>116</v>
      </c>
      <c r="C5" s="55"/>
      <c r="D5" s="58"/>
      <c r="E5" s="58"/>
      <c r="F5" s="58"/>
      <c r="G5" s="58"/>
      <c r="H5" s="58"/>
      <c r="I5" s="58"/>
      <c r="J5" s="58"/>
      <c r="K5" s="58"/>
      <c r="L5" s="58"/>
      <c r="M5" s="58"/>
    </row>
    <row r="6" spans="1:15" ht="13.15">
      <c r="A6" s="55"/>
      <c r="B6" s="55" t="s">
        <v>117</v>
      </c>
      <c r="C6" s="55"/>
      <c r="D6" s="58"/>
      <c r="E6" s="58"/>
      <c r="F6" s="58"/>
      <c r="G6" s="58"/>
      <c r="H6" s="58"/>
      <c r="I6" s="58"/>
      <c r="J6" s="58"/>
      <c r="K6" s="58"/>
      <c r="L6" s="58"/>
      <c r="M6" s="58"/>
    </row>
    <row r="7" spans="1:15" ht="13.15">
      <c r="A7" s="55"/>
      <c r="B7" s="55" t="s">
        <v>113</v>
      </c>
      <c r="C7" s="55"/>
      <c r="D7" s="58"/>
      <c r="E7" s="58"/>
      <c r="F7" s="58"/>
      <c r="G7" s="58"/>
      <c r="H7" s="58"/>
      <c r="I7" s="58"/>
      <c r="J7" s="58"/>
      <c r="K7" s="58"/>
      <c r="L7" s="58"/>
      <c r="M7" s="58"/>
    </row>
    <row r="8" spans="1:15" ht="13.15">
      <c r="A8" s="55"/>
      <c r="B8" s="55" t="s">
        <v>118</v>
      </c>
      <c r="C8" s="55"/>
      <c r="D8" s="58"/>
      <c r="E8" s="58"/>
      <c r="F8" s="58"/>
      <c r="G8" s="58"/>
      <c r="H8" s="58"/>
      <c r="I8" s="58"/>
      <c r="J8" s="58"/>
      <c r="K8" s="58"/>
      <c r="L8" s="58"/>
      <c r="M8" s="58"/>
    </row>
    <row r="9" spans="1:15" ht="13.15">
      <c r="A9" s="55"/>
      <c r="B9" s="55"/>
      <c r="C9" s="55"/>
      <c r="D9" s="58"/>
      <c r="E9" s="58"/>
      <c r="F9" s="58"/>
      <c r="G9" s="58"/>
      <c r="H9" s="58"/>
      <c r="I9" s="58"/>
      <c r="J9" s="58"/>
      <c r="K9" s="58"/>
      <c r="L9" s="58"/>
      <c r="M9" s="58"/>
    </row>
    <row r="10" spans="1:15" ht="26.65" thickBot="1">
      <c r="A10" s="61" t="s">
        <v>36</v>
      </c>
      <c r="B10" s="61" t="s">
        <v>37</v>
      </c>
      <c r="C10" s="61" t="s">
        <v>2</v>
      </c>
      <c r="D10" s="61" t="s">
        <v>38</v>
      </c>
      <c r="E10" s="61" t="s">
        <v>39</v>
      </c>
      <c r="F10" s="61" t="s">
        <v>40</v>
      </c>
      <c r="G10" s="62" t="s">
        <v>3</v>
      </c>
      <c r="H10" s="79"/>
      <c r="I10" s="63" t="s">
        <v>41</v>
      </c>
      <c r="J10" s="63" t="s">
        <v>42</v>
      </c>
      <c r="K10" s="63" t="s">
        <v>43</v>
      </c>
      <c r="L10" s="63" t="s">
        <v>44</v>
      </c>
      <c r="M10" s="63" t="s">
        <v>45</v>
      </c>
      <c r="N10" s="63" t="s">
        <v>46</v>
      </c>
      <c r="O10" s="80"/>
    </row>
    <row r="11" spans="1:15" ht="13.15" thickTop="1">
      <c r="A11" s="64" t="s">
        <v>8</v>
      </c>
      <c r="B11" s="64">
        <v>13</v>
      </c>
      <c r="C11" s="64" t="s">
        <v>48</v>
      </c>
      <c r="D11" s="65" t="s">
        <v>99</v>
      </c>
      <c r="E11" s="64">
        <v>395</v>
      </c>
      <c r="F11" s="64">
        <v>8</v>
      </c>
      <c r="G11" s="54" t="s">
        <v>6</v>
      </c>
      <c r="H11" s="81">
        <v>44688.301200000002</v>
      </c>
      <c r="I11" s="66">
        <v>48372.457975191006</v>
      </c>
      <c r="J11" s="66">
        <v>51241.550848191</v>
      </c>
      <c r="K11" s="66">
        <v>54367.021690191003</v>
      </c>
      <c r="L11" s="66">
        <v>57393.559359000006</v>
      </c>
      <c r="M11" s="66">
        <v>61571.136238191</v>
      </c>
      <c r="N11" s="66">
        <v>64612.071274943235</v>
      </c>
      <c r="O11" s="66"/>
    </row>
    <row r="12" spans="1:15">
      <c r="A12" s="64" t="s">
        <v>13</v>
      </c>
      <c r="B12" s="64">
        <v>1</v>
      </c>
      <c r="C12" s="64" t="s">
        <v>48</v>
      </c>
      <c r="D12" s="65" t="s">
        <v>100</v>
      </c>
      <c r="E12" s="64">
        <v>470</v>
      </c>
      <c r="F12" s="64">
        <v>10</v>
      </c>
      <c r="G12" s="54" t="s">
        <v>6</v>
      </c>
      <c r="H12" s="81">
        <v>62562.373200000002</v>
      </c>
      <c r="I12" s="66">
        <v>67162.518469809002</v>
      </c>
      <c r="J12" s="66">
        <v>70524.152782190999</v>
      </c>
      <c r="K12" s="66">
        <v>74058.127344000008</v>
      </c>
      <c r="L12" s="66">
        <v>77762.310282000006</v>
      </c>
      <c r="M12" s="66">
        <v>81637.767532808997</v>
      </c>
      <c r="N12" s="66">
        <v>85669.772832376082</v>
      </c>
      <c r="O12" s="66"/>
    </row>
    <row r="13" spans="1:15">
      <c r="A13" s="64" t="s">
        <v>9</v>
      </c>
      <c r="B13" s="64">
        <v>4</v>
      </c>
      <c r="C13" s="64" t="s">
        <v>48</v>
      </c>
      <c r="D13" s="65" t="s">
        <v>101</v>
      </c>
      <c r="E13" s="64">
        <v>578</v>
      </c>
      <c r="F13" s="64">
        <v>12</v>
      </c>
      <c r="G13" s="54" t="s">
        <v>6</v>
      </c>
      <c r="H13" s="81">
        <v>76608.812559600003</v>
      </c>
      <c r="I13" s="66">
        <v>82234.563318</v>
      </c>
      <c r="J13" s="66">
        <v>86338.738440000001</v>
      </c>
      <c r="K13" s="66">
        <v>90669.503815191012</v>
      </c>
      <c r="L13" s="66">
        <v>95200.266346190983</v>
      </c>
      <c r="M13" s="66">
        <v>99957.620194190997</v>
      </c>
      <c r="N13" s="66">
        <v>104894.42415803185</v>
      </c>
      <c r="O13" s="66"/>
    </row>
    <row r="14" spans="1:15">
      <c r="A14" s="64" t="s">
        <v>10</v>
      </c>
      <c r="B14" s="64">
        <v>1</v>
      </c>
      <c r="C14" s="64" t="s">
        <v>48</v>
      </c>
      <c r="D14" s="65" t="s">
        <v>102</v>
      </c>
      <c r="E14" s="64">
        <v>485</v>
      </c>
      <c r="F14" s="64">
        <v>10</v>
      </c>
      <c r="G14" s="54" t="s">
        <v>6</v>
      </c>
      <c r="H14" s="81">
        <v>62562.373200000002</v>
      </c>
      <c r="I14" s="66">
        <v>67162.518469809002</v>
      </c>
      <c r="J14" s="66">
        <v>70524.152782190999</v>
      </c>
      <c r="K14" s="66">
        <v>74058.127344000008</v>
      </c>
      <c r="L14" s="66">
        <v>77762.310282000006</v>
      </c>
      <c r="M14" s="66">
        <v>81637.767532808997</v>
      </c>
      <c r="N14" s="66">
        <v>85669.772832376082</v>
      </c>
      <c r="O14" s="66"/>
    </row>
    <row r="15" spans="1:15" ht="14.25" customHeight="1">
      <c r="A15" s="64" t="s">
        <v>78</v>
      </c>
      <c r="B15" s="64">
        <v>1</v>
      </c>
      <c r="C15" s="64" t="s">
        <v>48</v>
      </c>
      <c r="D15" s="65" t="s">
        <v>92</v>
      </c>
      <c r="E15" s="64"/>
      <c r="F15" s="64">
        <v>10</v>
      </c>
      <c r="G15" s="54" t="s">
        <v>6</v>
      </c>
      <c r="H15" s="81">
        <v>62562.373200000002</v>
      </c>
      <c r="I15" s="66">
        <v>67162.518469809002</v>
      </c>
      <c r="J15" s="66">
        <v>70524.152782190999</v>
      </c>
      <c r="K15" s="66">
        <v>74058.127344000008</v>
      </c>
      <c r="L15" s="66">
        <v>77762.310282000006</v>
      </c>
      <c r="M15" s="66">
        <v>81637.767532808997</v>
      </c>
      <c r="N15" s="66">
        <v>85669.772832376082</v>
      </c>
      <c r="O15" s="66"/>
    </row>
    <row r="16" spans="1:15">
      <c r="A16" s="64" t="s">
        <v>11</v>
      </c>
      <c r="B16" s="64">
        <v>2</v>
      </c>
      <c r="C16" s="64" t="s">
        <v>48</v>
      </c>
      <c r="D16" s="65" t="s">
        <v>103</v>
      </c>
      <c r="E16" s="64">
        <v>523</v>
      </c>
      <c r="F16" s="64">
        <v>11</v>
      </c>
      <c r="G16" s="54" t="s">
        <v>6</v>
      </c>
      <c r="H16" s="81">
        <v>69642.295199999993</v>
      </c>
      <c r="I16" s="66">
        <v>74768.750692190995</v>
      </c>
      <c r="J16" s="66">
        <v>78503.784091190988</v>
      </c>
      <c r="K16" s="66">
        <v>82434.558346190999</v>
      </c>
      <c r="L16" s="66">
        <v>86537.669659190986</v>
      </c>
      <c r="M16" s="66">
        <v>90869.500971000001</v>
      </c>
      <c r="N16" s="66">
        <v>95357.452081824304</v>
      </c>
      <c r="O16" s="66"/>
    </row>
    <row r="17" spans="1:15">
      <c r="A17" s="64" t="s">
        <v>16</v>
      </c>
      <c r="B17" s="64">
        <v>5</v>
      </c>
      <c r="C17" s="64" t="s">
        <v>48</v>
      </c>
      <c r="D17" s="65" t="s">
        <v>104</v>
      </c>
      <c r="E17" s="64">
        <v>625</v>
      </c>
      <c r="F17" s="64">
        <v>13</v>
      </c>
      <c r="G17" s="54" t="s">
        <v>6</v>
      </c>
      <c r="H17" s="81">
        <v>80844.282000000007</v>
      </c>
      <c r="I17" s="66">
        <v>86794.048691999997</v>
      </c>
      <c r="J17" s="66">
        <v>91124.814067190993</v>
      </c>
      <c r="K17" s="66">
        <v>95684.299441190989</v>
      </c>
      <c r="L17" s="66">
        <v>100471.441005</v>
      </c>
      <c r="M17" s="66">
        <v>105486.23663100001</v>
      </c>
      <c r="N17" s="66">
        <v>110696.09326943205</v>
      </c>
      <c r="O17" s="66"/>
    </row>
    <row r="18" spans="1:15">
      <c r="A18" s="64" t="s">
        <v>18</v>
      </c>
      <c r="B18" s="64">
        <v>5</v>
      </c>
      <c r="C18" s="64" t="s">
        <v>48</v>
      </c>
      <c r="D18" s="65" t="s">
        <v>105</v>
      </c>
      <c r="E18" s="64">
        <v>588</v>
      </c>
      <c r="F18" s="64">
        <v>13</v>
      </c>
      <c r="G18" s="54" t="s">
        <v>6</v>
      </c>
      <c r="H18" s="81">
        <v>80844.282000000007</v>
      </c>
      <c r="I18" s="66">
        <v>86794.048691999997</v>
      </c>
      <c r="J18" s="66">
        <v>91124.814067190993</v>
      </c>
      <c r="K18" s="66">
        <v>95684.299441190989</v>
      </c>
      <c r="L18" s="66">
        <v>100471.441005</v>
      </c>
      <c r="M18" s="66">
        <v>105486.23663100001</v>
      </c>
      <c r="N18" s="66">
        <v>110696.09326943205</v>
      </c>
      <c r="O18" s="66"/>
    </row>
    <row r="19" spans="1:15" ht="25.5">
      <c r="A19" s="64" t="s">
        <v>20</v>
      </c>
      <c r="B19" s="64">
        <v>5</v>
      </c>
      <c r="C19" s="64" t="s">
        <v>48</v>
      </c>
      <c r="D19" s="65" t="s">
        <v>106</v>
      </c>
      <c r="E19" s="64">
        <v>630</v>
      </c>
      <c r="F19" s="64">
        <v>13</v>
      </c>
      <c r="G19" s="54" t="s">
        <v>6</v>
      </c>
      <c r="H19" s="81">
        <v>80844.282000000007</v>
      </c>
      <c r="I19" s="66">
        <v>86794.048691999997</v>
      </c>
      <c r="J19" s="66">
        <v>91124.814067190993</v>
      </c>
      <c r="K19" s="66">
        <v>95684.299441190989</v>
      </c>
      <c r="L19" s="66">
        <v>100471.441005</v>
      </c>
      <c r="M19" s="66">
        <v>105486.23663100001</v>
      </c>
      <c r="N19" s="66">
        <v>110696.09326943205</v>
      </c>
      <c r="O19" s="66"/>
    </row>
    <row r="20" spans="1:15">
      <c r="A20" s="64"/>
      <c r="B20" s="64"/>
      <c r="C20" s="64"/>
      <c r="D20" s="65"/>
      <c r="E20" s="64"/>
      <c r="F20" s="64"/>
      <c r="H20" s="66"/>
      <c r="I20" s="66"/>
      <c r="J20" s="66"/>
      <c r="K20" s="66"/>
      <c r="L20" s="66"/>
      <c r="M20" s="66"/>
      <c r="N20" s="66"/>
      <c r="O20" s="67"/>
    </row>
    <row r="21" spans="1:15" ht="8.25" customHeight="1">
      <c r="A21" s="68"/>
      <c r="B21" s="69"/>
      <c r="C21" s="70"/>
      <c r="D21" s="69"/>
      <c r="E21" s="71"/>
      <c r="F21" s="71"/>
      <c r="G21" s="71"/>
      <c r="H21" s="71"/>
      <c r="I21" s="72"/>
      <c r="J21" s="70"/>
      <c r="K21" s="70"/>
    </row>
    <row r="22" spans="1:15" ht="13.15">
      <c r="A22" s="73" t="s">
        <v>67</v>
      </c>
    </row>
    <row r="23" spans="1:15">
      <c r="A23" s="75" t="s">
        <v>29</v>
      </c>
      <c r="B23" s="69"/>
      <c r="C23" s="70"/>
      <c r="D23" s="70"/>
      <c r="E23" s="70"/>
      <c r="F23" s="70"/>
      <c r="G23" s="70"/>
      <c r="H23" s="70"/>
      <c r="I23" s="70"/>
      <c r="J23" s="70"/>
      <c r="K23" s="70"/>
    </row>
    <row r="24" spans="1:15">
      <c r="A24" s="54" t="s">
        <v>30</v>
      </c>
    </row>
    <row r="25" spans="1:15">
      <c r="A25" s="54" t="s">
        <v>31</v>
      </c>
    </row>
    <row r="27" spans="1:15" ht="13.15">
      <c r="A27" s="73" t="s">
        <v>68</v>
      </c>
    </row>
    <row r="28" spans="1:15">
      <c r="A28" s="54" t="s">
        <v>33</v>
      </c>
    </row>
    <row r="29" spans="1:15">
      <c r="A29" s="70" t="s">
        <v>34</v>
      </c>
    </row>
    <row r="31" spans="1:15" ht="13.15">
      <c r="A31" s="55" t="s">
        <v>70</v>
      </c>
      <c r="B31" s="58"/>
      <c r="C31" s="55"/>
      <c r="D31" s="58"/>
      <c r="E31" s="58"/>
      <c r="F31" s="58"/>
      <c r="G31" s="58"/>
      <c r="H31" s="58"/>
    </row>
    <row r="32" spans="1:15" ht="13.15">
      <c r="A32" s="59" t="s">
        <v>75</v>
      </c>
      <c r="B32" s="58"/>
      <c r="C32" s="55"/>
      <c r="D32" s="58"/>
      <c r="E32" s="58"/>
      <c r="F32" s="58"/>
      <c r="G32" s="58"/>
      <c r="H32" s="58"/>
    </row>
    <row r="33" spans="1:8" ht="13.15">
      <c r="A33" s="66">
        <v>539.89551276480006</v>
      </c>
      <c r="B33" s="76" t="s">
        <v>24</v>
      </c>
      <c r="C33" s="55"/>
      <c r="D33" s="58"/>
      <c r="E33" s="58"/>
      <c r="F33" s="58"/>
      <c r="G33" s="58"/>
      <c r="H33" s="58"/>
    </row>
    <row r="34" spans="1:8" ht="13.15">
      <c r="A34" s="66">
        <v>757.39943099520019</v>
      </c>
      <c r="B34" s="76" t="s">
        <v>25</v>
      </c>
      <c r="C34" s="55"/>
      <c r="D34" s="58"/>
      <c r="E34" s="58"/>
      <c r="F34" s="58"/>
      <c r="G34" s="58"/>
      <c r="H34" s="58"/>
    </row>
    <row r="35" spans="1:8" ht="13.15">
      <c r="A35" s="66">
        <v>918.59522826240004</v>
      </c>
      <c r="B35" s="76" t="s">
        <v>26</v>
      </c>
      <c r="C35" s="55"/>
      <c r="D35" s="58"/>
      <c r="E35" s="58"/>
      <c r="F35" s="58"/>
      <c r="G35" s="58"/>
      <c r="H35" s="58"/>
    </row>
    <row r="36" spans="1:8">
      <c r="A36" s="66">
        <v>1083.1032679392001</v>
      </c>
      <c r="B36" s="76" t="s">
        <v>27</v>
      </c>
      <c r="C36" s="64"/>
      <c r="D36" s="65"/>
      <c r="E36" s="64"/>
      <c r="F36" s="64"/>
      <c r="H36" s="66"/>
    </row>
    <row r="37" spans="1:8">
      <c r="A37" s="64"/>
      <c r="B37" s="64"/>
      <c r="C37" s="64"/>
      <c r="D37" s="65"/>
      <c r="E37" s="64"/>
      <c r="F37" s="64"/>
      <c r="H37" s="66"/>
    </row>
  </sheetData>
  <mergeCells count="1">
    <mergeCell ref="A1:M1"/>
  </mergeCells>
  <pageMargins left="0.25" right="0.25" top="1" bottom="0.5" header="0.5" footer="0.5"/>
  <pageSetup scale="96" orientation="landscape" r:id="rId1"/>
  <headerFooter alignWithMargins="0"/>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U37"/>
  <sheetViews>
    <sheetView zoomScaleNormal="100" workbookViewId="0">
      <selection activeCell="I12" sqref="I12"/>
    </sheetView>
  </sheetViews>
  <sheetFormatPr defaultColWidth="9.265625" defaultRowHeight="12.75"/>
  <cols>
    <col min="1" max="1" width="9" style="54" customWidth="1"/>
    <col min="2" max="2" width="6.265625" style="74" customWidth="1"/>
    <col min="3" max="3" width="5.73046875" style="54" customWidth="1"/>
    <col min="4" max="4" width="28.73046875" style="54" customWidth="1"/>
    <col min="5" max="5" width="6.59765625" style="54" hidden="1" customWidth="1"/>
    <col min="6" max="6" width="6.265625" style="54" customWidth="1"/>
    <col min="7" max="7" width="2.59765625" style="54" customWidth="1"/>
    <col min="8" max="8" width="10.265625" style="54" hidden="1" customWidth="1"/>
    <col min="9" max="9" width="11.73046875" style="54" customWidth="1"/>
    <col min="10" max="10" width="10.265625" style="54" customWidth="1"/>
    <col min="11" max="11" width="9.73046875" style="54" customWidth="1"/>
    <col min="12" max="13" width="10.59765625" style="54" customWidth="1"/>
    <col min="14" max="14" width="9.73046875" style="54" customWidth="1"/>
    <col min="15" max="16" width="9.265625" style="54" hidden="1" customWidth="1"/>
    <col min="17" max="18" width="9.265625" style="54"/>
    <col min="19" max="19" width="28.73046875" style="54" customWidth="1"/>
    <col min="20" max="16384" width="9.265625" style="54"/>
  </cols>
  <sheetData>
    <row r="1" spans="1:21" ht="20.65">
      <c r="A1" s="186" t="s">
        <v>0</v>
      </c>
      <c r="B1" s="186"/>
      <c r="C1" s="186"/>
      <c r="D1" s="186"/>
      <c r="E1" s="186"/>
      <c r="F1" s="186"/>
      <c r="G1" s="186"/>
      <c r="H1" s="186"/>
      <c r="I1" s="186"/>
      <c r="J1" s="186"/>
      <c r="K1" s="186"/>
      <c r="L1" s="186"/>
      <c r="M1" s="186"/>
    </row>
    <row r="2" spans="1:21" ht="13.15">
      <c r="A2" s="55"/>
      <c r="B2" s="56"/>
      <c r="C2" s="57"/>
      <c r="D2" s="56"/>
      <c r="E2" s="56"/>
      <c r="F2" s="58"/>
      <c r="G2" s="58"/>
      <c r="H2" s="58"/>
      <c r="I2" s="58"/>
      <c r="J2" s="58"/>
      <c r="K2" s="58"/>
      <c r="L2" s="58"/>
      <c r="M2" s="58"/>
    </row>
    <row r="3" spans="1:21" ht="13.15">
      <c r="A3" s="55" t="s">
        <v>1</v>
      </c>
      <c r="B3" s="58"/>
      <c r="C3" s="55"/>
      <c r="D3" s="58"/>
      <c r="E3" s="58"/>
      <c r="F3" s="58"/>
      <c r="G3" s="58"/>
      <c r="H3" s="58"/>
      <c r="I3" s="58"/>
      <c r="J3" s="58"/>
      <c r="K3" s="58"/>
      <c r="L3" s="58"/>
      <c r="M3" s="58"/>
    </row>
    <row r="4" spans="1:21" ht="13.15">
      <c r="A4" s="90" t="s">
        <v>115</v>
      </c>
      <c r="B4" s="91"/>
      <c r="C4" s="92"/>
      <c r="D4" s="91"/>
      <c r="E4" s="91"/>
      <c r="F4" s="91"/>
      <c r="G4" s="91"/>
      <c r="H4" s="91"/>
      <c r="I4" s="91"/>
      <c r="J4" s="58"/>
      <c r="K4" s="58"/>
      <c r="L4" s="58"/>
      <c r="M4" s="58"/>
    </row>
    <row r="5" spans="1:21" ht="13.15">
      <c r="A5" s="55"/>
      <c r="B5" s="55" t="s">
        <v>116</v>
      </c>
      <c r="C5" s="55"/>
      <c r="D5" s="58"/>
      <c r="E5" s="58"/>
      <c r="F5" s="58"/>
      <c r="G5" s="58"/>
      <c r="H5" s="58"/>
      <c r="I5" s="58"/>
      <c r="J5" s="58"/>
      <c r="K5" s="58"/>
      <c r="L5" s="58"/>
      <c r="M5" s="58"/>
    </row>
    <row r="6" spans="1:21" ht="13.15">
      <c r="A6" s="55"/>
      <c r="B6" s="55" t="s">
        <v>117</v>
      </c>
      <c r="C6" s="55"/>
      <c r="D6" s="58"/>
      <c r="E6" s="58"/>
      <c r="F6" s="58"/>
      <c r="G6" s="58"/>
      <c r="H6" s="58"/>
      <c r="I6" s="58"/>
      <c r="J6" s="58"/>
      <c r="K6" s="58"/>
      <c r="L6" s="58"/>
      <c r="M6" s="58"/>
    </row>
    <row r="7" spans="1:21" ht="13.15">
      <c r="A7" s="55"/>
      <c r="B7" s="55" t="s">
        <v>113</v>
      </c>
      <c r="C7" s="55"/>
      <c r="D7" s="58"/>
      <c r="E7" s="58"/>
      <c r="F7" s="58"/>
      <c r="G7" s="58"/>
      <c r="H7" s="58"/>
      <c r="I7" s="58"/>
      <c r="J7" s="58"/>
      <c r="K7" s="58"/>
      <c r="L7" s="58"/>
      <c r="M7" s="58"/>
    </row>
    <row r="8" spans="1:21" ht="13.15">
      <c r="A8" s="55"/>
      <c r="B8" s="55"/>
      <c r="C8" s="55"/>
      <c r="D8" s="58"/>
      <c r="E8" s="58"/>
      <c r="F8" s="58"/>
      <c r="G8" s="58"/>
      <c r="H8" s="58"/>
      <c r="I8" s="58"/>
      <c r="J8" s="58"/>
      <c r="K8" s="58"/>
      <c r="L8" s="58"/>
      <c r="M8" s="58"/>
    </row>
    <row r="9" spans="1:21" ht="13.15">
      <c r="A9" s="55"/>
      <c r="B9" s="55"/>
      <c r="C9" s="55"/>
      <c r="D9" s="58"/>
      <c r="E9" s="58"/>
      <c r="F9" s="58"/>
      <c r="G9" s="58"/>
      <c r="H9" s="58"/>
      <c r="I9" s="58"/>
      <c r="J9" s="58"/>
      <c r="K9" s="58"/>
      <c r="L9" s="58"/>
      <c r="M9" s="58"/>
    </row>
    <row r="10" spans="1:21" ht="26.65" thickBot="1">
      <c r="A10" s="61" t="s">
        <v>36</v>
      </c>
      <c r="B10" s="61" t="s">
        <v>37</v>
      </c>
      <c r="C10" s="61" t="s">
        <v>2</v>
      </c>
      <c r="D10" s="61" t="s">
        <v>38</v>
      </c>
      <c r="E10" s="61" t="s">
        <v>39</v>
      </c>
      <c r="F10" s="61" t="s">
        <v>40</v>
      </c>
      <c r="G10" s="62" t="s">
        <v>3</v>
      </c>
      <c r="H10" s="79"/>
      <c r="I10" s="63" t="s">
        <v>41</v>
      </c>
      <c r="J10" s="63" t="s">
        <v>42</v>
      </c>
      <c r="K10" s="63" t="s">
        <v>43</v>
      </c>
      <c r="L10" s="63" t="s">
        <v>44</v>
      </c>
      <c r="M10" s="63" t="s">
        <v>45</v>
      </c>
      <c r="N10" s="63" t="s">
        <v>46</v>
      </c>
      <c r="O10" s="80"/>
    </row>
    <row r="11" spans="1:21" ht="13.15" thickTop="1">
      <c r="A11" s="64" t="s">
        <v>8</v>
      </c>
      <c r="B11" s="64">
        <v>13</v>
      </c>
      <c r="C11" s="64" t="s">
        <v>48</v>
      </c>
      <c r="D11" s="89" t="s">
        <v>99</v>
      </c>
      <c r="E11" s="64">
        <v>395</v>
      </c>
      <c r="F11" s="64">
        <v>8</v>
      </c>
      <c r="G11" s="54" t="s">
        <v>6</v>
      </c>
      <c r="H11" s="81">
        <v>44688.301200000002</v>
      </c>
      <c r="I11" s="66">
        <f>'1 1 2013 calc BASE Keep'!I11*1.0211</f>
        <v>49393.116838467533</v>
      </c>
      <c r="J11" s="66">
        <f>'1 1 2013 calc BASE Keep'!J11*1.0211</f>
        <v>52322.747571087828</v>
      </c>
      <c r="K11" s="66">
        <f>'1 1 2013 calc BASE Keep'!K11*1.0211</f>
        <v>55514.165847854027</v>
      </c>
      <c r="L11" s="66">
        <f>'1 1 2013 calc BASE Keep'!L11*1.0211</f>
        <v>58604.5634614749</v>
      </c>
      <c r="M11" s="66">
        <f>'1 1 2013 calc BASE Keep'!M11*1.0211</f>
        <v>62870.287212816824</v>
      </c>
      <c r="N11" s="66">
        <f>'1 1 2013 calc BASE Keep'!N11*1.0211</f>
        <v>65975.385978844526</v>
      </c>
      <c r="O11" s="66"/>
      <c r="Q11"/>
      <c r="R11" s="86"/>
      <c r="S11" s="86"/>
      <c r="T11" s="87"/>
      <c r="U11" s="88"/>
    </row>
    <row r="12" spans="1:21">
      <c r="A12" s="64" t="s">
        <v>13</v>
      </c>
      <c r="B12" s="64">
        <v>1</v>
      </c>
      <c r="C12" s="64" t="s">
        <v>48</v>
      </c>
      <c r="D12" s="89" t="s">
        <v>100</v>
      </c>
      <c r="E12" s="64">
        <v>470</v>
      </c>
      <c r="F12" s="64">
        <v>10</v>
      </c>
      <c r="G12" s="54" t="s">
        <v>6</v>
      </c>
      <c r="H12" s="81">
        <v>62562.373200000002</v>
      </c>
      <c r="I12" s="66">
        <f>'1 1 2013 calc BASE Keep'!I12*1.0211</f>
        <v>68579.64760952197</v>
      </c>
      <c r="J12" s="66">
        <f>'1 1 2013 calc BASE Keep'!J12*1.0211</f>
        <v>72012.212405895218</v>
      </c>
      <c r="K12" s="66">
        <f>'1 1 2013 calc BASE Keep'!K12*1.0211</f>
        <v>75620.753830958405</v>
      </c>
      <c r="L12" s="66">
        <f>'1 1 2013 calc BASE Keep'!L12*1.0211</f>
        <v>79403.095028950192</v>
      </c>
      <c r="M12" s="66">
        <f>'1 1 2013 calc BASE Keep'!M12*1.0211</f>
        <v>83360.324427751257</v>
      </c>
      <c r="N12" s="66">
        <f>'1 1 2013 calc BASE Keep'!N12*1.0211</f>
        <v>87477.405039139208</v>
      </c>
      <c r="O12" s="66"/>
      <c r="Q12"/>
      <c r="R12" s="86"/>
      <c r="S12" s="86"/>
      <c r="T12" s="87"/>
      <c r="U12" s="88"/>
    </row>
    <row r="13" spans="1:21">
      <c r="A13" s="64" t="s">
        <v>9</v>
      </c>
      <c r="B13" s="64">
        <v>4</v>
      </c>
      <c r="C13" s="64" t="s">
        <v>48</v>
      </c>
      <c r="D13" s="65" t="s">
        <v>101</v>
      </c>
      <c r="E13" s="64">
        <v>578</v>
      </c>
      <c r="F13" s="64">
        <v>12</v>
      </c>
      <c r="G13" s="54" t="s">
        <v>6</v>
      </c>
      <c r="H13" s="81">
        <v>76608.812559600003</v>
      </c>
      <c r="I13" s="66">
        <f>'1 1 2013 calc BASE Keep'!I13*1.0211</f>
        <v>83969.712604009794</v>
      </c>
      <c r="J13" s="66">
        <f>'1 1 2013 calc BASE Keep'!J13*1.0211</f>
        <v>88160.485821083988</v>
      </c>
      <c r="K13" s="66">
        <f>'1 1 2013 calc BASE Keep'!K13*1.0211</f>
        <v>92582.630345691534</v>
      </c>
      <c r="L13" s="66">
        <f>'1 1 2013 calc BASE Keep'!L13*1.0211</f>
        <v>97208.991966095607</v>
      </c>
      <c r="M13" s="66">
        <f>'1 1 2013 calc BASE Keep'!M13*1.0211</f>
        <v>102066.72598028842</v>
      </c>
      <c r="N13" s="66">
        <f>'1 1 2013 calc BASE Keep'!N13*1.0211</f>
        <v>107107.6965077663</v>
      </c>
      <c r="O13" s="66"/>
      <c r="Q13"/>
      <c r="R13" s="86"/>
      <c r="S13" s="86"/>
      <c r="T13" s="87"/>
      <c r="U13" s="88"/>
    </row>
    <row r="14" spans="1:21">
      <c r="A14" s="64" t="s">
        <v>10</v>
      </c>
      <c r="B14" s="64">
        <v>1</v>
      </c>
      <c r="C14" s="64" t="s">
        <v>48</v>
      </c>
      <c r="D14" s="65" t="s">
        <v>102</v>
      </c>
      <c r="E14" s="64">
        <v>485</v>
      </c>
      <c r="F14" s="64">
        <v>10</v>
      </c>
      <c r="G14" s="54" t="s">
        <v>6</v>
      </c>
      <c r="H14" s="81">
        <v>62562.373200000002</v>
      </c>
      <c r="I14" s="66">
        <f>'1 1 2013 calc BASE Keep'!I14*1.0211</f>
        <v>68579.64760952197</v>
      </c>
      <c r="J14" s="66">
        <f>'1 1 2013 calc BASE Keep'!J14*1.0211</f>
        <v>72012.212405895218</v>
      </c>
      <c r="K14" s="66">
        <f>'1 1 2013 calc BASE Keep'!K14*1.0211</f>
        <v>75620.753830958405</v>
      </c>
      <c r="L14" s="66">
        <f>'1 1 2013 calc BASE Keep'!L14*1.0211</f>
        <v>79403.095028950192</v>
      </c>
      <c r="M14" s="66">
        <f>'1 1 2013 calc BASE Keep'!M14*1.0211</f>
        <v>83360.324427751257</v>
      </c>
      <c r="N14" s="66">
        <f>'1 1 2013 calc BASE Keep'!N14*1.0211</f>
        <v>87477.405039139208</v>
      </c>
      <c r="O14" s="66"/>
      <c r="Q14"/>
      <c r="R14" s="86"/>
      <c r="S14" s="86"/>
      <c r="T14" s="87"/>
      <c r="U14" s="88"/>
    </row>
    <row r="15" spans="1:21">
      <c r="A15" s="64" t="s">
        <v>78</v>
      </c>
      <c r="B15" s="64">
        <v>1</v>
      </c>
      <c r="C15" s="64" t="s">
        <v>48</v>
      </c>
      <c r="D15" s="65" t="s">
        <v>92</v>
      </c>
      <c r="E15" s="64"/>
      <c r="F15" s="64">
        <v>10</v>
      </c>
      <c r="G15" s="54" t="s">
        <v>6</v>
      </c>
      <c r="H15" s="81">
        <v>62562.373200000002</v>
      </c>
      <c r="I15" s="66">
        <f>'1 1 2013 calc BASE Keep'!I15*1.0211</f>
        <v>68579.64760952197</v>
      </c>
      <c r="J15" s="66">
        <f>'1 1 2013 calc BASE Keep'!J15*1.0211</f>
        <v>72012.212405895218</v>
      </c>
      <c r="K15" s="66">
        <f>'1 1 2013 calc BASE Keep'!K15*1.0211</f>
        <v>75620.753830958405</v>
      </c>
      <c r="L15" s="66">
        <f>'1 1 2013 calc BASE Keep'!L15*1.0211</f>
        <v>79403.095028950192</v>
      </c>
      <c r="M15" s="66">
        <f>'1 1 2013 calc BASE Keep'!M15*1.0211</f>
        <v>83360.324427751257</v>
      </c>
      <c r="N15" s="66">
        <f>'1 1 2013 calc BASE Keep'!N15*1.0211</f>
        <v>87477.405039139208</v>
      </c>
      <c r="O15" s="66"/>
      <c r="Q15"/>
      <c r="R15" s="86"/>
      <c r="S15" s="86"/>
      <c r="T15" s="87"/>
      <c r="U15" s="88"/>
    </row>
    <row r="16" spans="1:21">
      <c r="A16" s="64" t="s">
        <v>11</v>
      </c>
      <c r="B16" s="64">
        <v>2</v>
      </c>
      <c r="C16" s="64" t="s">
        <v>48</v>
      </c>
      <c r="D16" s="65" t="s">
        <v>103</v>
      </c>
      <c r="E16" s="64">
        <v>523</v>
      </c>
      <c r="F16" s="64">
        <v>11</v>
      </c>
      <c r="G16" s="54" t="s">
        <v>6</v>
      </c>
      <c r="H16" s="81">
        <v>69642.295199999993</v>
      </c>
      <c r="I16" s="66">
        <f>'1 1 2013 calc BASE Keep'!I16*1.0211</f>
        <v>76346.371331796225</v>
      </c>
      <c r="J16" s="66">
        <f>'1 1 2013 calc BASE Keep'!J16*1.0211</f>
        <v>80160.213935515116</v>
      </c>
      <c r="K16" s="66">
        <f>'1 1 2013 calc BASE Keep'!K16*1.0211</f>
        <v>84173.927527295615</v>
      </c>
      <c r="L16" s="66">
        <f>'1 1 2013 calc BASE Keep'!L16*1.0211</f>
        <v>88363.614488999912</v>
      </c>
      <c r="M16" s="66">
        <f>'1 1 2013 calc BASE Keep'!M16*1.0211</f>
        <v>92786.847441488091</v>
      </c>
      <c r="N16" s="66">
        <f>'1 1 2013 calc BASE Keep'!N16*1.0211</f>
        <v>97369.494320750789</v>
      </c>
      <c r="O16" s="66"/>
      <c r="Q16"/>
      <c r="R16" s="86"/>
      <c r="S16" s="86"/>
      <c r="T16" s="87"/>
      <c r="U16" s="88"/>
    </row>
    <row r="17" spans="1:21" ht="14.25" customHeight="1">
      <c r="A17" s="64" t="s">
        <v>16</v>
      </c>
      <c r="B17" s="64">
        <v>5</v>
      </c>
      <c r="C17" s="64" t="s">
        <v>48</v>
      </c>
      <c r="D17" s="65" t="s">
        <v>104</v>
      </c>
      <c r="E17" s="64">
        <v>625</v>
      </c>
      <c r="F17" s="64">
        <v>13</v>
      </c>
      <c r="G17" s="54" t="s">
        <v>6</v>
      </c>
      <c r="H17" s="81">
        <v>80844.282000000007</v>
      </c>
      <c r="I17" s="66">
        <f>'1 1 2013 calc BASE Keep'!I17*1.0211</f>
        <v>88625.403119401191</v>
      </c>
      <c r="J17" s="66">
        <f>'1 1 2013 calc BASE Keep'!J17*1.0211</f>
        <v>93047.547644008708</v>
      </c>
      <c r="K17" s="66">
        <f>'1 1 2013 calc BASE Keep'!K17*1.0211</f>
        <v>97703.238159400105</v>
      </c>
      <c r="L17" s="66">
        <f>'1 1 2013 calc BASE Keep'!L17*1.0211</f>
        <v>102591.38841020549</v>
      </c>
      <c r="M17" s="66">
        <f>'1 1 2013 calc BASE Keep'!M17*1.0211</f>
        <v>107711.9962239141</v>
      </c>
      <c r="N17" s="66">
        <f>'1 1 2013 calc BASE Keep'!N17*1.0211</f>
        <v>113031.78083741706</v>
      </c>
      <c r="O17" s="66"/>
      <c r="Q17"/>
      <c r="R17" s="86"/>
      <c r="S17" s="86"/>
      <c r="T17" s="87"/>
      <c r="U17" s="88"/>
    </row>
    <row r="18" spans="1:21">
      <c r="A18" s="64" t="s">
        <v>18</v>
      </c>
      <c r="B18" s="64">
        <v>5</v>
      </c>
      <c r="C18" s="64" t="s">
        <v>48</v>
      </c>
      <c r="D18" s="65" t="s">
        <v>105</v>
      </c>
      <c r="E18" s="64">
        <v>588</v>
      </c>
      <c r="F18" s="64">
        <v>13</v>
      </c>
      <c r="G18" s="54" t="s">
        <v>6</v>
      </c>
      <c r="H18" s="81">
        <v>80844.282000000007</v>
      </c>
      <c r="I18" s="66">
        <f>'1 1 2013 calc BASE Keep'!I18*1.0211</f>
        <v>88625.403119401191</v>
      </c>
      <c r="J18" s="66">
        <f>'1 1 2013 calc BASE Keep'!J18*1.0211</f>
        <v>93047.547644008708</v>
      </c>
      <c r="K18" s="66">
        <f>'1 1 2013 calc BASE Keep'!K18*1.0211</f>
        <v>97703.238159400105</v>
      </c>
      <c r="L18" s="66">
        <f>'1 1 2013 calc BASE Keep'!L18*1.0211</f>
        <v>102591.38841020549</v>
      </c>
      <c r="M18" s="66">
        <f>'1 1 2013 calc BASE Keep'!M18*1.0211</f>
        <v>107711.9962239141</v>
      </c>
      <c r="N18" s="66">
        <f>'1 1 2013 calc BASE Keep'!N18*1.0211</f>
        <v>113031.78083741706</v>
      </c>
      <c r="O18" s="66"/>
      <c r="Q18"/>
      <c r="R18" s="86"/>
      <c r="S18" s="86"/>
      <c r="T18" s="87"/>
      <c r="U18" s="88"/>
    </row>
    <row r="19" spans="1:21" ht="25.5">
      <c r="A19" s="64" t="s">
        <v>20</v>
      </c>
      <c r="B19" s="64">
        <v>5</v>
      </c>
      <c r="C19" s="64" t="s">
        <v>48</v>
      </c>
      <c r="D19" s="65" t="s">
        <v>106</v>
      </c>
      <c r="E19" s="64">
        <v>630</v>
      </c>
      <c r="F19" s="64">
        <v>13</v>
      </c>
      <c r="G19" s="54" t="s">
        <v>6</v>
      </c>
      <c r="H19" s="81">
        <v>80844.282000000007</v>
      </c>
      <c r="I19" s="66">
        <f>'1 1 2013 calc BASE Keep'!I19*1.0211</f>
        <v>88625.403119401191</v>
      </c>
      <c r="J19" s="66">
        <f>'1 1 2013 calc BASE Keep'!J19*1.0211</f>
        <v>93047.547644008708</v>
      </c>
      <c r="K19" s="66">
        <f>'1 1 2013 calc BASE Keep'!K19*1.0211</f>
        <v>97703.238159400105</v>
      </c>
      <c r="L19" s="66">
        <f>'1 1 2013 calc BASE Keep'!L19*1.0211</f>
        <v>102591.38841020549</v>
      </c>
      <c r="M19" s="66">
        <f>'1 1 2013 calc BASE Keep'!M19*1.0211</f>
        <v>107711.9962239141</v>
      </c>
      <c r="N19" s="66">
        <f>'1 1 2013 calc BASE Keep'!N19*1.0211</f>
        <v>113031.78083741706</v>
      </c>
      <c r="O19" s="66"/>
      <c r="Q19"/>
      <c r="R19" s="86"/>
      <c r="S19" s="86"/>
      <c r="T19" s="87"/>
      <c r="U19" s="88"/>
    </row>
    <row r="20" spans="1:21">
      <c r="A20" s="64"/>
      <c r="B20" s="64"/>
      <c r="C20" s="64"/>
      <c r="D20" s="65"/>
      <c r="E20" s="64"/>
      <c r="F20" s="64"/>
      <c r="H20" s="66"/>
      <c r="I20" s="66"/>
      <c r="J20" s="66"/>
      <c r="K20" s="66"/>
      <c r="L20" s="66"/>
      <c r="M20" s="66"/>
      <c r="N20" s="66"/>
      <c r="O20" s="66"/>
      <c r="Q20"/>
      <c r="R20" s="86"/>
      <c r="S20" s="86"/>
      <c r="T20" s="87"/>
      <c r="U20" s="88"/>
    </row>
    <row r="21" spans="1:21">
      <c r="A21" s="68"/>
      <c r="B21" s="69"/>
      <c r="C21" s="70"/>
      <c r="D21" s="69"/>
      <c r="E21" s="71"/>
      <c r="F21" s="71"/>
      <c r="G21" s="71"/>
      <c r="H21" s="71"/>
      <c r="I21" s="72"/>
      <c r="J21" s="70"/>
      <c r="K21" s="70"/>
      <c r="O21" s="66"/>
    </row>
    <row r="22" spans="1:21" ht="13.15">
      <c r="A22" s="73" t="s">
        <v>67</v>
      </c>
      <c r="O22" s="67"/>
    </row>
    <row r="23" spans="1:21" ht="12" customHeight="1">
      <c r="A23" s="75" t="s">
        <v>29</v>
      </c>
      <c r="B23" s="69"/>
      <c r="C23" s="70"/>
      <c r="D23" s="70"/>
      <c r="E23" s="70"/>
      <c r="F23" s="70"/>
      <c r="G23" s="70"/>
      <c r="H23" s="70"/>
      <c r="I23" s="70"/>
      <c r="J23" s="70"/>
      <c r="K23" s="70"/>
    </row>
    <row r="24" spans="1:21">
      <c r="A24" s="54" t="s">
        <v>30</v>
      </c>
    </row>
    <row r="25" spans="1:21">
      <c r="A25" s="54" t="s">
        <v>31</v>
      </c>
    </row>
    <row r="27" spans="1:21" ht="13.15">
      <c r="A27" s="73" t="s">
        <v>68</v>
      </c>
    </row>
    <row r="28" spans="1:21">
      <c r="A28" s="54" t="s">
        <v>33</v>
      </c>
    </row>
    <row r="29" spans="1:21">
      <c r="A29" s="70" t="s">
        <v>34</v>
      </c>
    </row>
    <row r="31" spans="1:21" ht="13.15">
      <c r="A31" s="55" t="s">
        <v>70</v>
      </c>
      <c r="B31" s="58"/>
      <c r="C31" s="55"/>
      <c r="D31" s="58"/>
      <c r="E31" s="58"/>
      <c r="F31" s="58"/>
      <c r="G31" s="58"/>
      <c r="H31" s="58"/>
    </row>
    <row r="32" spans="1:21" ht="13.15">
      <c r="A32" s="59" t="s">
        <v>75</v>
      </c>
      <c r="B32" s="58"/>
      <c r="C32" s="55"/>
      <c r="D32" s="58"/>
      <c r="E32" s="58"/>
      <c r="F32" s="58"/>
      <c r="G32" s="58"/>
      <c r="H32" s="58"/>
    </row>
    <row r="33" spans="1:8" ht="13.15">
      <c r="A33" s="66">
        <f>'1 1 2013 calc BASE Keep'!A33*1.0211</f>
        <v>551.28730808413729</v>
      </c>
      <c r="B33" s="76" t="s">
        <v>24</v>
      </c>
      <c r="C33" s="55"/>
      <c r="D33" s="58"/>
      <c r="E33" s="58"/>
      <c r="F33" s="58"/>
      <c r="G33" s="58"/>
      <c r="H33" s="58"/>
    </row>
    <row r="34" spans="1:8" ht="13.15">
      <c r="A34" s="66">
        <f>'1 1 2013 calc BASE Keep'!A34*1.0211</f>
        <v>773.38055898919879</v>
      </c>
      <c r="B34" s="76" t="s">
        <v>25</v>
      </c>
      <c r="C34" s="55"/>
      <c r="D34" s="58"/>
      <c r="E34" s="58"/>
      <c r="F34" s="58"/>
      <c r="G34" s="58"/>
      <c r="H34" s="58"/>
    </row>
    <row r="35" spans="1:8" ht="13.15">
      <c r="A35" s="66">
        <f>'1 1 2013 calc BASE Keep'!A35*1.0211</f>
        <v>937.97758757873657</v>
      </c>
      <c r="B35" s="76" t="s">
        <v>26</v>
      </c>
      <c r="C35" s="55"/>
      <c r="D35" s="58"/>
      <c r="E35" s="58"/>
      <c r="F35" s="58"/>
      <c r="G35" s="58"/>
      <c r="H35" s="58"/>
    </row>
    <row r="36" spans="1:8">
      <c r="A36" s="66">
        <f>'1 1 2013 calc BASE Keep'!A36*1.0211</f>
        <v>1105.9567468927171</v>
      </c>
      <c r="B36" s="76" t="s">
        <v>27</v>
      </c>
      <c r="C36" s="64"/>
      <c r="D36" s="65"/>
      <c r="E36" s="64"/>
      <c r="F36" s="64"/>
      <c r="H36" s="66"/>
    </row>
    <row r="37" spans="1:8">
      <c r="A37" s="64"/>
      <c r="B37" s="64"/>
      <c r="C37" s="64"/>
      <c r="D37" s="65"/>
      <c r="E37" s="64"/>
      <c r="F37" s="64"/>
      <c r="H37" s="66"/>
    </row>
  </sheetData>
  <sheetProtection password="E3B7" sheet="1"/>
  <mergeCells count="1">
    <mergeCell ref="A1:M1"/>
  </mergeCells>
  <pageMargins left="0.25" right="0.25" top="1" bottom="0.5" header="0.5" footer="0.5"/>
  <pageSetup scale="96" orientation="landscape" r:id="rId1"/>
  <headerFooter alignWithMargins="0"/>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T35"/>
  <sheetViews>
    <sheetView zoomScaleNormal="100" workbookViewId="0">
      <selection activeCell="A4" sqref="A4"/>
    </sheetView>
  </sheetViews>
  <sheetFormatPr defaultColWidth="9.265625" defaultRowHeight="12.75"/>
  <cols>
    <col min="1" max="1" width="9" style="54" customWidth="1"/>
    <col min="2" max="2" width="6.265625" style="74" customWidth="1"/>
    <col min="3" max="3" width="5.73046875" style="54" customWidth="1"/>
    <col min="4" max="4" width="28.73046875" style="54" customWidth="1"/>
    <col min="5" max="5" width="6.59765625" style="54" hidden="1" customWidth="1"/>
    <col min="6" max="6" width="6.265625" style="54" customWidth="1"/>
    <col min="7" max="7" width="2.59765625" style="54" customWidth="1"/>
    <col min="8" max="8" width="11.73046875" style="54" customWidth="1"/>
    <col min="9" max="9" width="10.265625" style="54" customWidth="1"/>
    <col min="10" max="10" width="9.73046875" style="54" customWidth="1"/>
    <col min="11" max="12" width="10.59765625" style="54" customWidth="1"/>
    <col min="13" max="13" width="10.3984375" style="54" customWidth="1"/>
    <col min="14" max="15" width="9.265625" style="54" hidden="1" customWidth="1"/>
    <col min="16" max="17" width="9.265625" style="54"/>
    <col min="18" max="18" width="28.73046875" style="54" customWidth="1"/>
    <col min="19" max="16384" width="9.265625" style="54"/>
  </cols>
  <sheetData>
    <row r="1" spans="1:20" ht="20.65">
      <c r="A1" s="186" t="s">
        <v>0</v>
      </c>
      <c r="B1" s="186"/>
      <c r="C1" s="186"/>
      <c r="D1" s="186"/>
      <c r="E1" s="186"/>
      <c r="F1" s="186"/>
      <c r="G1" s="186"/>
      <c r="H1" s="186"/>
      <c r="I1" s="186"/>
      <c r="J1" s="186"/>
      <c r="K1" s="186"/>
      <c r="L1" s="186"/>
    </row>
    <row r="2" spans="1:20" ht="13.15">
      <c r="A2" s="55"/>
      <c r="B2" s="56"/>
      <c r="C2" s="57"/>
      <c r="D2" s="56"/>
      <c r="E2" s="56"/>
      <c r="F2" s="58"/>
      <c r="G2" s="58"/>
      <c r="H2" s="58"/>
      <c r="I2" s="58"/>
      <c r="J2" s="58"/>
      <c r="K2" s="58"/>
      <c r="L2" s="58"/>
    </row>
    <row r="3" spans="1:20" ht="13.15">
      <c r="A3" s="55" t="s">
        <v>1</v>
      </c>
      <c r="B3" s="58"/>
      <c r="C3" s="55"/>
      <c r="D3" s="58"/>
      <c r="E3" s="58"/>
      <c r="F3" s="58"/>
      <c r="G3" s="58"/>
      <c r="H3" s="58"/>
      <c r="I3" s="58"/>
      <c r="J3" s="58"/>
      <c r="K3" s="58"/>
      <c r="L3" s="58"/>
    </row>
    <row r="4" spans="1:20" ht="13.15">
      <c r="A4" s="90" t="s">
        <v>123</v>
      </c>
      <c r="B4" s="91"/>
      <c r="C4" s="92"/>
      <c r="D4" s="91"/>
      <c r="E4" s="91"/>
      <c r="F4" s="91"/>
      <c r="G4" s="91"/>
      <c r="H4" s="91"/>
      <c r="I4" s="58"/>
      <c r="J4" s="58"/>
      <c r="K4" s="58"/>
      <c r="L4" s="58"/>
    </row>
    <row r="5" spans="1:20" ht="13.15">
      <c r="A5" s="55"/>
      <c r="B5" s="55" t="s">
        <v>119</v>
      </c>
      <c r="C5" s="55"/>
      <c r="D5" s="58"/>
      <c r="E5" s="58"/>
      <c r="F5" s="58"/>
      <c r="G5" s="58"/>
      <c r="H5" s="58"/>
      <c r="I5" s="58"/>
      <c r="J5" s="58"/>
      <c r="K5" s="58"/>
      <c r="L5" s="58"/>
    </row>
    <row r="6" spans="1:20" ht="13.15">
      <c r="A6" s="55"/>
      <c r="B6" s="55"/>
      <c r="C6" s="55"/>
      <c r="D6" s="58"/>
      <c r="E6" s="58"/>
      <c r="F6" s="58"/>
      <c r="G6" s="58"/>
      <c r="H6" s="58"/>
      <c r="I6" s="58"/>
      <c r="J6" s="58"/>
      <c r="K6" s="58"/>
      <c r="L6" s="58"/>
    </row>
    <row r="7" spans="1:20" ht="13.15">
      <c r="A7" s="55"/>
      <c r="B7" s="55"/>
      <c r="C7" s="55"/>
      <c r="D7" s="58"/>
      <c r="E7" s="58"/>
      <c r="F7" s="58"/>
      <c r="G7" s="58"/>
      <c r="H7" s="58"/>
      <c r="I7" s="58"/>
      <c r="J7" s="58"/>
      <c r="K7" s="58"/>
      <c r="L7" s="58"/>
    </row>
    <row r="8" spans="1:20" ht="26.65" thickBot="1">
      <c r="A8" s="61" t="s">
        <v>36</v>
      </c>
      <c r="B8" s="61" t="s">
        <v>37</v>
      </c>
      <c r="C8" s="61" t="s">
        <v>2</v>
      </c>
      <c r="D8" s="61" t="s">
        <v>38</v>
      </c>
      <c r="E8" s="61" t="s">
        <v>39</v>
      </c>
      <c r="F8" s="61" t="s">
        <v>40</v>
      </c>
      <c r="G8" s="62" t="s">
        <v>3</v>
      </c>
      <c r="H8" s="63" t="s">
        <v>41</v>
      </c>
      <c r="I8" s="63" t="s">
        <v>42</v>
      </c>
      <c r="J8" s="63" t="s">
        <v>43</v>
      </c>
      <c r="K8" s="63" t="s">
        <v>44</v>
      </c>
      <c r="L8" s="63" t="s">
        <v>45</v>
      </c>
      <c r="M8" s="63" t="s">
        <v>46</v>
      </c>
      <c r="N8" s="80"/>
    </row>
    <row r="9" spans="1:20" ht="13.15" thickTop="1">
      <c r="A9" s="64" t="s">
        <v>8</v>
      </c>
      <c r="B9" s="64">
        <v>13</v>
      </c>
      <c r="C9" s="64" t="s">
        <v>48</v>
      </c>
      <c r="D9" s="89" t="s">
        <v>99</v>
      </c>
      <c r="E9" s="64">
        <v>395</v>
      </c>
      <c r="F9" s="64">
        <v>8</v>
      </c>
      <c r="G9" s="54" t="s">
        <v>6</v>
      </c>
      <c r="H9" s="66">
        <f>'January 1, 2013 2.11'!I11*1.01</f>
        <v>49887.048006852208</v>
      </c>
      <c r="I9" s="66">
        <f>'January 1, 2013 2.11'!J11*1.01</f>
        <v>52845.975046798703</v>
      </c>
      <c r="J9" s="66">
        <f>'January 1, 2013 2.11'!K11*1.01</f>
        <v>56069.307506332567</v>
      </c>
      <c r="K9" s="66">
        <f>'January 1, 2013 2.11'!L11*1.01</f>
        <v>59190.609096089647</v>
      </c>
      <c r="L9" s="66">
        <f>'January 1, 2013 2.11'!M11*1.01</f>
        <v>63498.990084944991</v>
      </c>
      <c r="M9" s="66">
        <f>'January 1, 2013 2.11'!N11*1.01</f>
        <v>66635.139838632967</v>
      </c>
      <c r="N9" s="66"/>
      <c r="P9"/>
      <c r="Q9" s="86"/>
      <c r="R9" s="86"/>
      <c r="S9" s="87"/>
      <c r="T9" s="88"/>
    </row>
    <row r="10" spans="1:20">
      <c r="A10" s="64" t="s">
        <v>13</v>
      </c>
      <c r="B10" s="64">
        <v>1</v>
      </c>
      <c r="C10" s="64" t="s">
        <v>48</v>
      </c>
      <c r="D10" s="89" t="s">
        <v>100</v>
      </c>
      <c r="E10" s="64">
        <v>470</v>
      </c>
      <c r="F10" s="64">
        <v>10</v>
      </c>
      <c r="G10" s="54" t="s">
        <v>6</v>
      </c>
      <c r="H10" s="66">
        <f>'January 1, 2013 2.11'!I12*1.03</f>
        <v>70637.037037807633</v>
      </c>
      <c r="I10" s="66">
        <f>'January 1, 2013 2.11'!J12*1.03</f>
        <v>74172.578778072071</v>
      </c>
      <c r="J10" s="66">
        <f>'January 1, 2013 2.11'!K12*1.03</f>
        <v>77889.376445887159</v>
      </c>
      <c r="K10" s="66">
        <f>'January 1, 2013 2.11'!L12*1.03</f>
        <v>81785.187879818695</v>
      </c>
      <c r="L10" s="66">
        <f>'January 1, 2013 2.11'!M12*1.03</f>
        <v>85861.134160583795</v>
      </c>
      <c r="M10" s="66">
        <f>'January 1, 2013 2.11'!N12*1.03</f>
        <v>90101.727190313381</v>
      </c>
      <c r="N10" s="66"/>
      <c r="P10"/>
      <c r="Q10" s="86"/>
      <c r="R10" s="86"/>
      <c r="S10" s="87"/>
      <c r="T10" s="88"/>
    </row>
    <row r="11" spans="1:20">
      <c r="A11" s="64" t="s">
        <v>9</v>
      </c>
      <c r="B11" s="64">
        <v>4</v>
      </c>
      <c r="C11" s="64" t="s">
        <v>48</v>
      </c>
      <c r="D11" s="65" t="s">
        <v>101</v>
      </c>
      <c r="E11" s="64">
        <v>578</v>
      </c>
      <c r="F11" s="64">
        <v>12</v>
      </c>
      <c r="G11" s="54" t="s">
        <v>6</v>
      </c>
      <c r="H11" s="66">
        <f>'January 1, 2013 2.11'!I13*1.01</f>
        <v>84809.409730049898</v>
      </c>
      <c r="I11" s="66">
        <f>'January 1, 2013 2.11'!J13*1.01</f>
        <v>89042.090679294823</v>
      </c>
      <c r="J11" s="66">
        <f>'January 1, 2013 2.11'!K13*1.01</f>
        <v>93508.456649148444</v>
      </c>
      <c r="K11" s="66">
        <f>'January 1, 2013 2.11'!L13*1.01</f>
        <v>98181.081885756561</v>
      </c>
      <c r="L11" s="66">
        <f>'January 1, 2013 2.11'!M13*1.01</f>
        <v>103087.3932400913</v>
      </c>
      <c r="M11" s="66">
        <f>'January 1, 2013 2.11'!N13*1.01</f>
        <v>108178.77347284397</v>
      </c>
      <c r="N11" s="66"/>
      <c r="P11"/>
      <c r="Q11" s="86"/>
      <c r="R11" s="86"/>
      <c r="S11" s="87"/>
      <c r="T11" s="88"/>
    </row>
    <row r="12" spans="1:20">
      <c r="A12" s="64" t="s">
        <v>10</v>
      </c>
      <c r="B12" s="64">
        <v>1</v>
      </c>
      <c r="C12" s="64" t="s">
        <v>48</v>
      </c>
      <c r="D12" s="65" t="s">
        <v>102</v>
      </c>
      <c r="E12" s="64">
        <v>485</v>
      </c>
      <c r="F12" s="64">
        <v>10</v>
      </c>
      <c r="G12" s="54" t="s">
        <v>6</v>
      </c>
      <c r="H12" s="66">
        <f>'January 1, 2013 2.11'!I14*1.03</f>
        <v>70637.037037807633</v>
      </c>
      <c r="I12" s="66">
        <f>'January 1, 2013 2.11'!J14*1.03</f>
        <v>74172.578778072071</v>
      </c>
      <c r="J12" s="66">
        <f>'January 1, 2013 2.11'!K14*1.03</f>
        <v>77889.376445887159</v>
      </c>
      <c r="K12" s="66">
        <f>'January 1, 2013 2.11'!L14*1.03</f>
        <v>81785.187879818695</v>
      </c>
      <c r="L12" s="66">
        <f>'January 1, 2013 2.11'!M14*1.03</f>
        <v>85861.134160583795</v>
      </c>
      <c r="M12" s="66">
        <f>'January 1, 2013 2.11'!N14*1.03</f>
        <v>90101.727190313381</v>
      </c>
      <c r="N12" s="66"/>
      <c r="P12"/>
      <c r="Q12" s="86"/>
      <c r="R12" s="86"/>
      <c r="S12" s="87"/>
      <c r="T12" s="88"/>
    </row>
    <row r="13" spans="1:20">
      <c r="A13" s="64" t="s">
        <v>78</v>
      </c>
      <c r="B13" s="64">
        <v>1</v>
      </c>
      <c r="C13" s="64" t="s">
        <v>48</v>
      </c>
      <c r="D13" s="65" t="s">
        <v>92</v>
      </c>
      <c r="E13" s="64">
        <v>470</v>
      </c>
      <c r="F13" s="64">
        <v>10</v>
      </c>
      <c r="G13" s="54" t="s">
        <v>6</v>
      </c>
      <c r="H13" s="66">
        <f>'January 1, 2013 2.11'!I15*1.03</f>
        <v>70637.037037807633</v>
      </c>
      <c r="I13" s="66">
        <f>'January 1, 2013 2.11'!J15*1.03</f>
        <v>74172.578778072071</v>
      </c>
      <c r="J13" s="66">
        <f>'January 1, 2013 2.11'!K15*1.03</f>
        <v>77889.376445887159</v>
      </c>
      <c r="K13" s="66">
        <f>'January 1, 2013 2.11'!L15*1.03</f>
        <v>81785.187879818695</v>
      </c>
      <c r="L13" s="66">
        <f>'January 1, 2013 2.11'!M15*1.03</f>
        <v>85861.134160583795</v>
      </c>
      <c r="M13" s="66">
        <f>'January 1, 2013 2.11'!N15*1.03</f>
        <v>90101.727190313381</v>
      </c>
      <c r="N13" s="66"/>
      <c r="P13"/>
      <c r="Q13" s="86"/>
      <c r="R13" s="86"/>
      <c r="S13" s="87"/>
      <c r="T13" s="88"/>
    </row>
    <row r="14" spans="1:20">
      <c r="A14" s="64" t="s">
        <v>11</v>
      </c>
      <c r="B14" s="64">
        <v>2</v>
      </c>
      <c r="C14" s="64" t="s">
        <v>48</v>
      </c>
      <c r="D14" s="65" t="s">
        <v>103</v>
      </c>
      <c r="E14" s="64">
        <v>523</v>
      </c>
      <c r="F14" s="64">
        <v>11</v>
      </c>
      <c r="G14" s="54" t="s">
        <v>6</v>
      </c>
      <c r="H14" s="66">
        <f>'January 1, 2013 2.11'!I16*1.01</f>
        <v>77109.835045114189</v>
      </c>
      <c r="I14" s="66">
        <f>'January 1, 2013 2.11'!J16*1.01</f>
        <v>80961.816074870265</v>
      </c>
      <c r="J14" s="66">
        <f>'January 1, 2013 2.11'!K16*1.01</f>
        <v>85015.666802568565</v>
      </c>
      <c r="K14" s="66">
        <f>'January 1, 2013 2.11'!L16*1.01</f>
        <v>89247.250633889911</v>
      </c>
      <c r="L14" s="66">
        <f>'January 1, 2013 2.11'!M16*1.01</f>
        <v>93714.715915902969</v>
      </c>
      <c r="M14" s="66">
        <f>'January 1, 2013 2.11'!N16*1.01</f>
        <v>98343.189263958295</v>
      </c>
      <c r="N14" s="66"/>
      <c r="P14"/>
      <c r="Q14" s="86"/>
      <c r="R14" s="86"/>
      <c r="S14" s="87"/>
      <c r="T14" s="88"/>
    </row>
    <row r="15" spans="1:20" ht="14.25" customHeight="1">
      <c r="A15" s="64" t="s">
        <v>16</v>
      </c>
      <c r="B15" s="64">
        <v>5</v>
      </c>
      <c r="C15" s="64" t="s">
        <v>48</v>
      </c>
      <c r="D15" s="65" t="s">
        <v>104</v>
      </c>
      <c r="E15" s="64">
        <v>625</v>
      </c>
      <c r="F15" s="64">
        <v>13</v>
      </c>
      <c r="G15" s="54" t="s">
        <v>6</v>
      </c>
      <c r="H15" s="66">
        <f>'January 1, 2013 2.11'!I17*1.01</f>
        <v>89511.657150595202</v>
      </c>
      <c r="I15" s="66">
        <f>'January 1, 2013 2.11'!J17*1.01</f>
        <v>93978.023120448794</v>
      </c>
      <c r="J15" s="66">
        <f>'January 1, 2013 2.11'!K17*1.01</f>
        <v>98680.270540994112</v>
      </c>
      <c r="K15" s="66">
        <f>'January 1, 2013 2.11'!L17*1.01</f>
        <v>103617.30229430755</v>
      </c>
      <c r="L15" s="66">
        <f>'January 1, 2013 2.11'!M17*1.01</f>
        <v>108789.11618615325</v>
      </c>
      <c r="M15" s="66">
        <f>'January 1, 2013 2.11'!N17*1.01</f>
        <v>114162.09864579122</v>
      </c>
      <c r="N15" s="66"/>
      <c r="P15"/>
      <c r="Q15" s="86"/>
      <c r="R15" s="86"/>
      <c r="S15" s="87"/>
      <c r="T15" s="88"/>
    </row>
    <row r="16" spans="1:20">
      <c r="A16" s="64" t="s">
        <v>18</v>
      </c>
      <c r="B16" s="64">
        <v>5</v>
      </c>
      <c r="C16" s="64" t="s">
        <v>48</v>
      </c>
      <c r="D16" s="65" t="s">
        <v>105</v>
      </c>
      <c r="E16" s="64">
        <v>588</v>
      </c>
      <c r="F16" s="64">
        <v>13</v>
      </c>
      <c r="G16" s="54" t="s">
        <v>6</v>
      </c>
      <c r="H16" s="66">
        <f>'January 1, 2013 2.11'!I18*1.01</f>
        <v>89511.657150595202</v>
      </c>
      <c r="I16" s="66">
        <f>'January 1, 2013 2.11'!J18*1.01</f>
        <v>93978.023120448794</v>
      </c>
      <c r="J16" s="66">
        <f>'January 1, 2013 2.11'!K18*1.01</f>
        <v>98680.270540994112</v>
      </c>
      <c r="K16" s="66">
        <f>'January 1, 2013 2.11'!L18*1.01</f>
        <v>103617.30229430755</v>
      </c>
      <c r="L16" s="66">
        <f>'January 1, 2013 2.11'!M18*1.01</f>
        <v>108789.11618615325</v>
      </c>
      <c r="M16" s="66">
        <f>'January 1, 2013 2.11'!N18*1.01</f>
        <v>114162.09864579122</v>
      </c>
      <c r="N16" s="66"/>
      <c r="P16"/>
      <c r="Q16" s="86"/>
      <c r="R16" s="86"/>
      <c r="S16" s="87"/>
      <c r="T16" s="88"/>
    </row>
    <row r="17" spans="1:20">
      <c r="A17" s="64" t="s">
        <v>20</v>
      </c>
      <c r="B17" s="64">
        <v>5</v>
      </c>
      <c r="C17" s="64" t="s">
        <v>48</v>
      </c>
      <c r="D17" s="65" t="s">
        <v>107</v>
      </c>
      <c r="E17" s="64">
        <v>605</v>
      </c>
      <c r="F17" s="64">
        <v>13</v>
      </c>
      <c r="G17" s="54" t="s">
        <v>6</v>
      </c>
      <c r="H17" s="66">
        <f>'January 1, 2013 2.11'!I19*1.01</f>
        <v>89511.657150595202</v>
      </c>
      <c r="I17" s="66">
        <f>'January 1, 2013 2.11'!J19*1.01</f>
        <v>93978.023120448794</v>
      </c>
      <c r="J17" s="66">
        <f>'January 1, 2013 2.11'!K19*1.01</f>
        <v>98680.270540994112</v>
      </c>
      <c r="K17" s="66">
        <f>'January 1, 2013 2.11'!L19*1.01</f>
        <v>103617.30229430755</v>
      </c>
      <c r="L17" s="66">
        <f>'January 1, 2013 2.11'!M19*1.01</f>
        <v>108789.11618615325</v>
      </c>
      <c r="M17" s="66">
        <f>'January 1, 2013 2.11'!N19*1.01</f>
        <v>114162.09864579122</v>
      </c>
      <c r="N17" s="66"/>
      <c r="P17"/>
      <c r="Q17" s="86"/>
      <c r="R17" s="86"/>
      <c r="S17" s="87"/>
      <c r="T17" s="88"/>
    </row>
    <row r="18" spans="1:20">
      <c r="B18" s="69"/>
      <c r="C18" s="70"/>
      <c r="D18" s="69"/>
      <c r="E18" s="71"/>
      <c r="F18" s="71"/>
      <c r="G18" s="71"/>
      <c r="H18" s="72"/>
      <c r="I18" s="70"/>
      <c r="J18" s="70"/>
      <c r="N18" s="66"/>
    </row>
    <row r="19" spans="1:20">
      <c r="A19" s="68"/>
      <c r="B19" s="69"/>
      <c r="C19" s="70"/>
      <c r="D19" s="69"/>
      <c r="E19" s="71"/>
      <c r="F19" s="71"/>
      <c r="G19" s="71"/>
      <c r="H19" s="72"/>
      <c r="I19" s="70"/>
      <c r="J19" s="70"/>
      <c r="N19" s="66"/>
    </row>
    <row r="20" spans="1:20" ht="13.15">
      <c r="A20" s="73" t="s">
        <v>67</v>
      </c>
      <c r="N20" s="67"/>
    </row>
    <row r="21" spans="1:20" ht="12" customHeight="1">
      <c r="A21" s="75" t="s">
        <v>29</v>
      </c>
      <c r="B21" s="69"/>
      <c r="C21" s="70"/>
      <c r="D21" s="70"/>
      <c r="E21" s="70"/>
      <c r="F21" s="70"/>
      <c r="G21" s="70"/>
      <c r="H21" s="70"/>
      <c r="I21" s="70"/>
      <c r="J21" s="70"/>
    </row>
    <row r="22" spans="1:20">
      <c r="A22" s="54" t="s">
        <v>30</v>
      </c>
    </row>
    <row r="23" spans="1:20">
      <c r="A23" s="54" t="s">
        <v>31</v>
      </c>
    </row>
    <row r="25" spans="1:20" ht="13.15">
      <c r="A25" s="73" t="s">
        <v>68</v>
      </c>
    </row>
    <row r="26" spans="1:20">
      <c r="A26" s="54" t="s">
        <v>33</v>
      </c>
    </row>
    <row r="27" spans="1:20">
      <c r="A27" s="70" t="s">
        <v>34</v>
      </c>
    </row>
    <row r="29" spans="1:20" ht="13.15">
      <c r="A29" s="55" t="s">
        <v>70</v>
      </c>
      <c r="B29" s="58"/>
      <c r="C29" s="55"/>
      <c r="D29" s="58"/>
      <c r="E29" s="58"/>
      <c r="F29" s="58"/>
      <c r="G29" s="58"/>
    </row>
    <row r="30" spans="1:20" ht="13.15">
      <c r="A30" s="59" t="s">
        <v>75</v>
      </c>
      <c r="B30" s="58"/>
      <c r="C30" s="55"/>
      <c r="D30" s="58"/>
      <c r="E30" s="58"/>
      <c r="F30" s="58"/>
      <c r="G30" s="58"/>
    </row>
    <row r="31" spans="1:20" ht="13.15">
      <c r="A31" s="66">
        <f>'January 1, 2013 2.11'!A33*1.02</f>
        <v>562.31305424582001</v>
      </c>
      <c r="B31" s="76" t="s">
        <v>24</v>
      </c>
      <c r="C31" s="55"/>
      <c r="D31" s="58"/>
      <c r="E31" s="58"/>
      <c r="F31" s="58"/>
      <c r="G31" s="58"/>
    </row>
    <row r="32" spans="1:20" ht="13.15">
      <c r="A32" s="66">
        <f>'January 1, 2013 2.11'!A34*1.02</f>
        <v>788.84817016898273</v>
      </c>
      <c r="B32" s="76" t="s">
        <v>25</v>
      </c>
      <c r="C32" s="55"/>
      <c r="D32" s="58"/>
      <c r="E32" s="58"/>
      <c r="F32" s="58"/>
      <c r="G32" s="58"/>
    </row>
    <row r="33" spans="1:7" ht="13.15">
      <c r="A33" s="66">
        <f>'January 1, 2013 2.11'!A35*1.02</f>
        <v>956.73713933031138</v>
      </c>
      <c r="B33" s="76" t="s">
        <v>26</v>
      </c>
      <c r="C33" s="55"/>
      <c r="D33" s="58"/>
      <c r="E33" s="58"/>
      <c r="F33" s="58"/>
      <c r="G33" s="58"/>
    </row>
    <row r="34" spans="1:7">
      <c r="A34" s="66">
        <f>'January 1, 2013 2.11'!A36*1.02</f>
        <v>1128.0758818305715</v>
      </c>
      <c r="B34" s="76" t="s">
        <v>27</v>
      </c>
      <c r="C34" s="64"/>
      <c r="D34" s="65"/>
      <c r="E34" s="64"/>
      <c r="F34" s="64"/>
    </row>
    <row r="35" spans="1:7">
      <c r="A35" s="64"/>
      <c r="B35" s="64"/>
      <c r="C35" s="64"/>
      <c r="D35" s="65"/>
      <c r="E35" s="64"/>
      <c r="F35" s="64"/>
    </row>
  </sheetData>
  <sheetProtection password="E3B7" sheet="1"/>
  <mergeCells count="1">
    <mergeCell ref="A1:L1"/>
  </mergeCells>
  <pageMargins left="0.25" right="0.25" top="1" bottom="0.5" header="0.5" footer="0.5"/>
  <pageSetup scale="96" orientation="landscape" r:id="rId1"/>
  <headerFooter alignWithMargins="0"/>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T34"/>
  <sheetViews>
    <sheetView zoomScaleNormal="100" workbookViewId="0">
      <selection activeCell="A4" sqref="A4"/>
    </sheetView>
  </sheetViews>
  <sheetFormatPr defaultColWidth="9.265625" defaultRowHeight="13.15"/>
  <cols>
    <col min="1" max="1" width="9" style="93" customWidth="1"/>
    <col min="2" max="2" width="6.265625" style="112" customWidth="1"/>
    <col min="3" max="3" width="5.73046875" style="93" customWidth="1"/>
    <col min="4" max="4" width="38" style="93" customWidth="1"/>
    <col min="5" max="5" width="5.73046875" style="93" hidden="1" customWidth="1"/>
    <col min="6" max="6" width="6.265625" style="93" customWidth="1"/>
    <col min="7" max="7" width="2.59765625" style="93" customWidth="1"/>
    <col min="8" max="8" width="11.73046875" style="93" customWidth="1"/>
    <col min="9" max="9" width="10.265625" style="93" customWidth="1"/>
    <col min="10" max="10" width="9.73046875" style="93" customWidth="1"/>
    <col min="11" max="12" width="10.59765625" style="93" customWidth="1"/>
    <col min="13" max="13" width="9.73046875" style="93" customWidth="1"/>
    <col min="14" max="15" width="9.265625" style="93" hidden="1" customWidth="1"/>
    <col min="16" max="17" width="9.265625" style="93"/>
    <col min="18" max="18" width="28.73046875" style="93" customWidth="1"/>
    <col min="19" max="16384" width="9.265625" style="93"/>
  </cols>
  <sheetData>
    <row r="1" spans="1:20" ht="21">
      <c r="A1" s="187" t="s">
        <v>0</v>
      </c>
      <c r="B1" s="187"/>
      <c r="C1" s="187"/>
      <c r="D1" s="187"/>
      <c r="E1" s="187"/>
      <c r="F1" s="187"/>
      <c r="G1" s="187"/>
      <c r="H1" s="187"/>
      <c r="I1" s="187"/>
      <c r="J1" s="187"/>
      <c r="K1" s="187"/>
      <c r="L1" s="187"/>
    </row>
    <row r="2" spans="1:20">
      <c r="A2" s="94"/>
      <c r="B2" s="95"/>
      <c r="C2" s="96"/>
      <c r="D2" s="95"/>
      <c r="E2" s="95"/>
      <c r="F2" s="97"/>
      <c r="G2" s="97"/>
      <c r="H2" s="97"/>
      <c r="I2" s="97"/>
      <c r="J2" s="97"/>
      <c r="K2" s="97"/>
      <c r="L2" s="97"/>
    </row>
    <row r="3" spans="1:20">
      <c r="A3" s="94" t="s">
        <v>1</v>
      </c>
      <c r="B3" s="97"/>
      <c r="C3" s="94"/>
      <c r="D3" s="97"/>
      <c r="E3" s="97"/>
      <c r="F3" s="97"/>
      <c r="G3" s="97"/>
      <c r="H3" s="97"/>
      <c r="I3" s="97"/>
      <c r="J3" s="97"/>
      <c r="K3" s="97"/>
      <c r="L3" s="97"/>
    </row>
    <row r="4" spans="1:20">
      <c r="A4" s="118" t="s">
        <v>121</v>
      </c>
      <c r="B4" s="98"/>
      <c r="C4" s="99"/>
      <c r="D4" s="98"/>
      <c r="E4" s="98"/>
      <c r="F4" s="98"/>
      <c r="G4" s="98"/>
      <c r="H4" s="98"/>
      <c r="I4" s="97"/>
      <c r="J4" s="97"/>
      <c r="K4" s="97"/>
      <c r="L4" s="97"/>
    </row>
    <row r="5" spans="1:20">
      <c r="A5" s="94"/>
      <c r="B5" s="94" t="s">
        <v>119</v>
      </c>
      <c r="C5" s="94"/>
      <c r="D5" s="97"/>
      <c r="E5" s="97"/>
      <c r="F5" s="97"/>
      <c r="G5" s="97"/>
      <c r="H5" s="97"/>
      <c r="I5" s="97"/>
      <c r="J5" s="97"/>
      <c r="K5" s="97"/>
      <c r="L5" s="97"/>
    </row>
    <row r="6" spans="1:20">
      <c r="A6" s="94"/>
      <c r="B6" s="94"/>
      <c r="C6" s="94"/>
      <c r="D6" s="97"/>
      <c r="E6" s="97"/>
      <c r="F6" s="97"/>
      <c r="G6" s="97"/>
      <c r="H6" s="97"/>
      <c r="I6" s="97"/>
      <c r="J6" s="97"/>
      <c r="K6" s="97"/>
      <c r="L6" s="97"/>
    </row>
    <row r="7" spans="1:20">
      <c r="A7" s="94"/>
      <c r="B7" s="94"/>
      <c r="C7" s="94"/>
      <c r="D7" s="97"/>
      <c r="E7" s="97"/>
      <c r="F7" s="97"/>
      <c r="G7" s="97"/>
      <c r="H7" s="97"/>
      <c r="I7" s="97"/>
      <c r="J7" s="97"/>
      <c r="K7" s="97"/>
      <c r="L7" s="97"/>
    </row>
    <row r="8" spans="1:20" ht="26.65" thickBot="1">
      <c r="A8" s="100" t="s">
        <v>36</v>
      </c>
      <c r="B8" s="100" t="s">
        <v>37</v>
      </c>
      <c r="C8" s="100" t="s">
        <v>2</v>
      </c>
      <c r="D8" s="100" t="s">
        <v>38</v>
      </c>
      <c r="E8" s="100" t="s">
        <v>39</v>
      </c>
      <c r="F8" s="100" t="s">
        <v>40</v>
      </c>
      <c r="G8" s="101" t="s">
        <v>3</v>
      </c>
      <c r="H8" s="102" t="s">
        <v>41</v>
      </c>
      <c r="I8" s="102" t="s">
        <v>42</v>
      </c>
      <c r="J8" s="102" t="s">
        <v>43</v>
      </c>
      <c r="K8" s="102" t="s">
        <v>44</v>
      </c>
      <c r="L8" s="102" t="s">
        <v>45</v>
      </c>
      <c r="M8" s="102" t="s">
        <v>46</v>
      </c>
      <c r="N8" s="103"/>
    </row>
    <row r="9" spans="1:20" ht="13.5" thickTop="1">
      <c r="A9" s="104" t="s">
        <v>8</v>
      </c>
      <c r="B9" s="104">
        <v>13</v>
      </c>
      <c r="C9" s="104" t="s">
        <v>48</v>
      </c>
      <c r="D9" s="105" t="s">
        <v>99</v>
      </c>
      <c r="E9" s="104">
        <v>395</v>
      </c>
      <c r="F9" s="104">
        <v>8</v>
      </c>
      <c r="G9" s="93" t="s">
        <v>6</v>
      </c>
      <c r="H9" s="106">
        <f>'January 1 2015'!H9*1.0225</f>
        <v>51009.506587006385</v>
      </c>
      <c r="I9" s="106">
        <f>'January 1 2015'!I9*1.0225</f>
        <v>54035.009485351671</v>
      </c>
      <c r="J9" s="106">
        <f>'January 1 2015'!J9*1.0225</f>
        <v>57330.866925225047</v>
      </c>
      <c r="K9" s="106">
        <f>'January 1 2015'!K9*1.0225</f>
        <v>60522.397800751663</v>
      </c>
      <c r="L9" s="106">
        <f>'January 1 2015'!L9*1.0225</f>
        <v>64927.717361856252</v>
      </c>
      <c r="M9" s="106">
        <f>'January 1 2015'!M9*1.0225</f>
        <v>68134.430485002202</v>
      </c>
      <c r="N9" s="106"/>
      <c r="P9" s="107"/>
      <c r="Q9" s="108"/>
      <c r="R9" s="108"/>
      <c r="S9" s="109"/>
      <c r="T9" s="110"/>
    </row>
    <row r="10" spans="1:20">
      <c r="A10" s="104" t="s">
        <v>13</v>
      </c>
      <c r="B10" s="104">
        <v>1</v>
      </c>
      <c r="C10" s="104" t="s">
        <v>48</v>
      </c>
      <c r="D10" s="105" t="s">
        <v>100</v>
      </c>
      <c r="E10" s="104">
        <v>470</v>
      </c>
      <c r="F10" s="104">
        <v>10</v>
      </c>
      <c r="G10" s="93" t="s">
        <v>6</v>
      </c>
      <c r="H10" s="106">
        <f>'January 1 2015'!H10*1.0225</f>
        <v>72226.370371158308</v>
      </c>
      <c r="I10" s="106">
        <f>'January 1 2015'!I10*1.0225</f>
        <v>75841.461800578691</v>
      </c>
      <c r="J10" s="106">
        <f>'January 1 2015'!J10*1.0225</f>
        <v>79641.887415919613</v>
      </c>
      <c r="K10" s="106">
        <f>'January 1 2015'!K10*1.0225</f>
        <v>83625.354607114612</v>
      </c>
      <c r="L10" s="106">
        <f>'January 1 2015'!L10*1.0225</f>
        <v>87793.009679196926</v>
      </c>
      <c r="M10" s="106">
        <f>'January 1 2015'!M10*1.0225</f>
        <v>92129.016052095423</v>
      </c>
      <c r="N10" s="106"/>
      <c r="P10" s="107"/>
      <c r="Q10" s="108"/>
      <c r="R10" s="108"/>
      <c r="S10" s="109"/>
      <c r="T10" s="110"/>
    </row>
    <row r="11" spans="1:20">
      <c r="A11" s="104" t="s">
        <v>9</v>
      </c>
      <c r="B11" s="104">
        <v>4</v>
      </c>
      <c r="C11" s="104" t="s">
        <v>48</v>
      </c>
      <c r="D11" s="105" t="s">
        <v>101</v>
      </c>
      <c r="E11" s="104">
        <v>578</v>
      </c>
      <c r="F11" s="104">
        <v>12</v>
      </c>
      <c r="G11" s="93" t="s">
        <v>6</v>
      </c>
      <c r="H11" s="106">
        <f>'January 1 2015'!H11*1.0225</f>
        <v>86717.621448976017</v>
      </c>
      <c r="I11" s="106">
        <f>'January 1 2015'!I11*1.0225</f>
        <v>91045.537719578948</v>
      </c>
      <c r="J11" s="106">
        <f>'January 1 2015'!J11*1.0225</f>
        <v>95612.396923754277</v>
      </c>
      <c r="K11" s="106">
        <f>'January 1 2015'!K11*1.0225</f>
        <v>100390.15622818608</v>
      </c>
      <c r="L11" s="106">
        <f>'January 1 2015'!L11*1.0225</f>
        <v>105406.85958799336</v>
      </c>
      <c r="M11" s="106">
        <f>'January 1 2015'!M11*1.0225</f>
        <v>110612.79587598295</v>
      </c>
      <c r="N11" s="106"/>
      <c r="P11" s="107"/>
      <c r="Q11" s="108"/>
      <c r="R11" s="108"/>
      <c r="S11" s="109"/>
      <c r="T11" s="110"/>
    </row>
    <row r="12" spans="1:20">
      <c r="A12" s="104" t="s">
        <v>10</v>
      </c>
      <c r="B12" s="104">
        <v>1</v>
      </c>
      <c r="C12" s="104" t="s">
        <v>48</v>
      </c>
      <c r="D12" s="105" t="s">
        <v>102</v>
      </c>
      <c r="E12" s="104">
        <v>485</v>
      </c>
      <c r="F12" s="104">
        <v>10</v>
      </c>
      <c r="G12" s="93" t="s">
        <v>6</v>
      </c>
      <c r="H12" s="106">
        <f>'January 1 2015'!H12*1.0225</f>
        <v>72226.370371158308</v>
      </c>
      <c r="I12" s="106">
        <f>'January 1 2015'!I12*1.0225</f>
        <v>75841.461800578691</v>
      </c>
      <c r="J12" s="106">
        <f>'January 1 2015'!J12*1.0225</f>
        <v>79641.887415919613</v>
      </c>
      <c r="K12" s="106">
        <f>'January 1 2015'!K12*1.0225</f>
        <v>83625.354607114612</v>
      </c>
      <c r="L12" s="106">
        <f>'January 1 2015'!L12*1.0225</f>
        <v>87793.009679196926</v>
      </c>
      <c r="M12" s="106">
        <f>'January 1 2015'!M12*1.0225</f>
        <v>92129.016052095423</v>
      </c>
      <c r="N12" s="106"/>
      <c r="P12" s="107"/>
      <c r="Q12" s="108"/>
      <c r="R12" s="108"/>
      <c r="S12" s="109"/>
      <c r="T12" s="110"/>
    </row>
    <row r="13" spans="1:20">
      <c r="A13" s="104" t="s">
        <v>78</v>
      </c>
      <c r="B13" s="104">
        <v>1</v>
      </c>
      <c r="C13" s="104" t="s">
        <v>48</v>
      </c>
      <c r="D13" s="105" t="s">
        <v>92</v>
      </c>
      <c r="E13" s="104">
        <v>470</v>
      </c>
      <c r="F13" s="104">
        <v>10</v>
      </c>
      <c r="G13" s="93" t="s">
        <v>6</v>
      </c>
      <c r="H13" s="106">
        <f>'January 1 2015'!H13*1.0225</f>
        <v>72226.370371158308</v>
      </c>
      <c r="I13" s="106">
        <f>'January 1 2015'!I13*1.0225</f>
        <v>75841.461800578691</v>
      </c>
      <c r="J13" s="106">
        <f>'January 1 2015'!J13*1.0225</f>
        <v>79641.887415919613</v>
      </c>
      <c r="K13" s="106">
        <f>'January 1 2015'!K13*1.0225</f>
        <v>83625.354607114612</v>
      </c>
      <c r="L13" s="106">
        <f>'January 1 2015'!L13*1.0225</f>
        <v>87793.009679196926</v>
      </c>
      <c r="M13" s="106">
        <f>'January 1 2015'!M13*1.0225</f>
        <v>92129.016052095423</v>
      </c>
      <c r="N13" s="106"/>
      <c r="P13" s="107"/>
      <c r="Q13" s="108"/>
      <c r="R13" s="108"/>
      <c r="S13" s="109"/>
      <c r="T13" s="110"/>
    </row>
    <row r="14" spans="1:20">
      <c r="A14" s="104" t="s">
        <v>11</v>
      </c>
      <c r="B14" s="104">
        <v>2</v>
      </c>
      <c r="C14" s="104" t="s">
        <v>48</v>
      </c>
      <c r="D14" s="105" t="s">
        <v>103</v>
      </c>
      <c r="E14" s="104">
        <v>523</v>
      </c>
      <c r="F14" s="104">
        <v>11</v>
      </c>
      <c r="G14" s="93" t="s">
        <v>6</v>
      </c>
      <c r="H14" s="106">
        <f>'January 1 2015'!H14*1.0225</f>
        <v>78844.806333629254</v>
      </c>
      <c r="I14" s="106">
        <f>'January 1 2015'!I14*1.0225</f>
        <v>82783.456936554838</v>
      </c>
      <c r="J14" s="106">
        <f>'January 1 2015'!J14*1.0225</f>
        <v>86928.519305626352</v>
      </c>
      <c r="K14" s="106">
        <f>'January 1 2015'!K14*1.0225</f>
        <v>91255.313773152433</v>
      </c>
      <c r="L14" s="106">
        <f>'January 1 2015'!L14*1.0225</f>
        <v>95823.297024010782</v>
      </c>
      <c r="M14" s="106">
        <f>'January 1 2015'!M14*1.0225</f>
        <v>100555.91102239735</v>
      </c>
      <c r="N14" s="106"/>
      <c r="P14" s="107"/>
      <c r="Q14" s="108"/>
      <c r="R14" s="108"/>
      <c r="S14" s="109"/>
      <c r="T14" s="110"/>
    </row>
    <row r="15" spans="1:20" ht="14.25" customHeight="1">
      <c r="A15" s="104" t="s">
        <v>16</v>
      </c>
      <c r="B15" s="104">
        <v>5</v>
      </c>
      <c r="C15" s="104" t="s">
        <v>48</v>
      </c>
      <c r="D15" s="105" t="s">
        <v>104</v>
      </c>
      <c r="E15" s="104">
        <v>625</v>
      </c>
      <c r="F15" s="104">
        <v>13</v>
      </c>
      <c r="G15" s="93" t="s">
        <v>6</v>
      </c>
      <c r="H15" s="106">
        <f>'January 1 2015'!H15*1.0225</f>
        <v>91525.669436483586</v>
      </c>
      <c r="I15" s="106">
        <f>'January 1 2015'!I15*1.0225</f>
        <v>96092.528640658886</v>
      </c>
      <c r="J15" s="106">
        <f>'January 1 2015'!J15*1.0225</f>
        <v>100900.57662816647</v>
      </c>
      <c r="K15" s="106">
        <f>'January 1 2015'!K15*1.0225</f>
        <v>105948.69159592947</v>
      </c>
      <c r="L15" s="106">
        <f>'January 1 2015'!L15*1.0225</f>
        <v>111236.87130034169</v>
      </c>
      <c r="M15" s="106">
        <f>'January 1 2015'!M15*1.0225</f>
        <v>116730.74586532151</v>
      </c>
      <c r="N15" s="106"/>
      <c r="P15" s="107"/>
      <c r="Q15" s="108"/>
      <c r="R15" s="108"/>
      <c r="S15" s="109"/>
      <c r="T15" s="110"/>
    </row>
    <row r="16" spans="1:20">
      <c r="A16" s="104" t="s">
        <v>18</v>
      </c>
      <c r="B16" s="104">
        <v>5</v>
      </c>
      <c r="C16" s="104" t="s">
        <v>48</v>
      </c>
      <c r="D16" s="105" t="s">
        <v>105</v>
      </c>
      <c r="E16" s="104">
        <v>588</v>
      </c>
      <c r="F16" s="104">
        <v>13</v>
      </c>
      <c r="G16" s="93" t="s">
        <v>6</v>
      </c>
      <c r="H16" s="106">
        <f>'January 1 2015'!H16*1.0225</f>
        <v>91525.669436483586</v>
      </c>
      <c r="I16" s="106">
        <f>'January 1 2015'!I16*1.0225</f>
        <v>96092.528640658886</v>
      </c>
      <c r="J16" s="106">
        <f>'January 1 2015'!J16*1.0225</f>
        <v>100900.57662816647</v>
      </c>
      <c r="K16" s="106">
        <f>'January 1 2015'!K16*1.0225</f>
        <v>105948.69159592947</v>
      </c>
      <c r="L16" s="106">
        <f>'January 1 2015'!L16*1.0225</f>
        <v>111236.87130034169</v>
      </c>
      <c r="M16" s="106">
        <f>'January 1 2015'!M16*1.0225</f>
        <v>116730.74586532151</v>
      </c>
      <c r="N16" s="106"/>
      <c r="P16" s="107"/>
      <c r="Q16" s="108"/>
      <c r="R16" s="108"/>
      <c r="S16" s="109"/>
      <c r="T16" s="110"/>
    </row>
    <row r="17" spans="1:20">
      <c r="A17" s="104" t="s">
        <v>20</v>
      </c>
      <c r="B17" s="104">
        <v>5</v>
      </c>
      <c r="C17" s="104" t="s">
        <v>48</v>
      </c>
      <c r="D17" s="105" t="s">
        <v>106</v>
      </c>
      <c r="E17" s="104">
        <v>605</v>
      </c>
      <c r="F17" s="104">
        <v>13</v>
      </c>
      <c r="G17" s="93" t="s">
        <v>6</v>
      </c>
      <c r="H17" s="106">
        <f>'January 1 2015'!H17*1.0225</f>
        <v>91525.669436483586</v>
      </c>
      <c r="I17" s="106">
        <f>'January 1 2015'!I17*1.0225</f>
        <v>96092.528640658886</v>
      </c>
      <c r="J17" s="106">
        <f>'January 1 2015'!J17*1.0225</f>
        <v>100900.57662816647</v>
      </c>
      <c r="K17" s="106">
        <f>'January 1 2015'!K17*1.0225</f>
        <v>105948.69159592947</v>
      </c>
      <c r="L17" s="106">
        <f>'January 1 2015'!L17*1.0225</f>
        <v>111236.87130034169</v>
      </c>
      <c r="M17" s="106">
        <f>'January 1 2015'!M17*1.0225</f>
        <v>116730.74586532151</v>
      </c>
      <c r="N17" s="106"/>
      <c r="P17" s="107"/>
      <c r="Q17" s="108"/>
      <c r="R17" s="108"/>
      <c r="S17" s="109"/>
      <c r="T17" s="110"/>
    </row>
    <row r="18" spans="1:20">
      <c r="A18" s="111"/>
      <c r="B18" s="121"/>
      <c r="D18" s="112"/>
      <c r="E18" s="113"/>
      <c r="F18" s="113"/>
      <c r="G18" s="113"/>
      <c r="H18" s="114"/>
      <c r="N18" s="106"/>
    </row>
    <row r="19" spans="1:20">
      <c r="A19" s="115" t="s">
        <v>67</v>
      </c>
      <c r="N19" s="116"/>
    </row>
    <row r="20" spans="1:20" ht="12" customHeight="1">
      <c r="A20" s="117" t="s">
        <v>29</v>
      </c>
    </row>
    <row r="21" spans="1:20">
      <c r="A21" s="93" t="s">
        <v>30</v>
      </c>
    </row>
    <row r="22" spans="1:20">
      <c r="A22" s="93" t="s">
        <v>31</v>
      </c>
    </row>
    <row r="24" spans="1:20">
      <c r="A24" s="115" t="s">
        <v>68</v>
      </c>
    </row>
    <row r="25" spans="1:20">
      <c r="A25" s="93" t="s">
        <v>33</v>
      </c>
    </row>
    <row r="26" spans="1:20">
      <c r="A26" s="93" t="s">
        <v>34</v>
      </c>
    </row>
    <row r="28" spans="1:20">
      <c r="A28" s="94" t="s">
        <v>70</v>
      </c>
      <c r="B28" s="97"/>
      <c r="C28" s="94"/>
      <c r="D28" s="97"/>
      <c r="E28" s="97"/>
      <c r="F28" s="97"/>
      <c r="G28" s="97"/>
    </row>
    <row r="29" spans="1:20">
      <c r="A29" s="118" t="s">
        <v>75</v>
      </c>
      <c r="B29" s="97"/>
      <c r="C29" s="94"/>
      <c r="D29" s="97"/>
      <c r="E29" s="97"/>
      <c r="F29" s="97"/>
      <c r="G29" s="97"/>
    </row>
    <row r="30" spans="1:20">
      <c r="A30" s="106">
        <f>'January 1 2015'!A31*1.0225</f>
        <v>574.96509796635098</v>
      </c>
      <c r="B30" s="119" t="s">
        <v>24</v>
      </c>
      <c r="C30" s="94"/>
      <c r="D30" s="97"/>
      <c r="E30" s="97"/>
      <c r="F30" s="97"/>
      <c r="G30" s="97"/>
    </row>
    <row r="31" spans="1:20">
      <c r="A31" s="106">
        <f>'January 1 2015'!A32*1.0225</f>
        <v>806.59725399778483</v>
      </c>
      <c r="B31" s="119" t="s">
        <v>25</v>
      </c>
      <c r="C31" s="94"/>
      <c r="D31" s="97"/>
      <c r="E31" s="97"/>
      <c r="F31" s="97"/>
      <c r="G31" s="97"/>
    </row>
    <row r="32" spans="1:20">
      <c r="A32" s="106">
        <f>'January 1 2015'!A33*1.0225</f>
        <v>978.26372496524334</v>
      </c>
      <c r="B32" s="119" t="s">
        <v>26</v>
      </c>
      <c r="C32" s="94"/>
      <c r="D32" s="97"/>
      <c r="E32" s="97"/>
      <c r="F32" s="97"/>
      <c r="G32" s="97"/>
    </row>
    <row r="33" spans="1:6">
      <c r="A33" s="106">
        <f>'January 1 2015'!A34*1.0225</f>
        <v>1153.4575891717593</v>
      </c>
      <c r="B33" s="119" t="s">
        <v>27</v>
      </c>
      <c r="C33" s="104"/>
      <c r="D33" s="105"/>
      <c r="E33" s="104"/>
      <c r="F33" s="104"/>
    </row>
    <row r="34" spans="1:6">
      <c r="A34" s="104"/>
      <c r="B34" s="104"/>
      <c r="C34" s="104"/>
      <c r="D34" s="105"/>
      <c r="E34" s="104"/>
      <c r="F34" s="104"/>
    </row>
  </sheetData>
  <sheetProtection password="E3B7" sheet="1"/>
  <mergeCells count="1">
    <mergeCell ref="A1:L1"/>
  </mergeCells>
  <pageMargins left="0.25" right="0.25" top="1" bottom="0.5" header="0.5" footer="0.5"/>
  <pageSetup scale="96" orientation="landscape" r:id="rId1"/>
  <headerFooter alignWithMargins="0"/>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T34"/>
  <sheetViews>
    <sheetView zoomScaleNormal="100" workbookViewId="0">
      <selection activeCell="A4" sqref="A4"/>
    </sheetView>
  </sheetViews>
  <sheetFormatPr defaultColWidth="9.265625" defaultRowHeight="13.15"/>
  <cols>
    <col min="1" max="1" width="9" style="93" customWidth="1"/>
    <col min="2" max="2" width="6.265625" style="112" customWidth="1"/>
    <col min="3" max="3" width="5.73046875" style="93" customWidth="1"/>
    <col min="4" max="4" width="38" style="93" customWidth="1"/>
    <col min="5" max="5" width="5.73046875" style="93" hidden="1" customWidth="1"/>
    <col min="6" max="6" width="6.265625" style="93" customWidth="1"/>
    <col min="7" max="7" width="2.59765625" style="93" customWidth="1"/>
    <col min="8" max="8" width="11.73046875" style="93" customWidth="1"/>
    <col min="9" max="9" width="10.265625" style="93" customWidth="1"/>
    <col min="10" max="10" width="9.73046875" style="93" customWidth="1"/>
    <col min="11" max="12" width="10.59765625" style="93" customWidth="1"/>
    <col min="13" max="13" width="9.73046875" style="93" customWidth="1"/>
    <col min="14" max="15" width="9.265625" style="93" hidden="1" customWidth="1"/>
    <col min="16" max="17" width="9.265625" style="93"/>
    <col min="18" max="18" width="28.73046875" style="93" customWidth="1"/>
    <col min="19" max="16384" width="9.265625" style="93"/>
  </cols>
  <sheetData>
    <row r="1" spans="1:20" ht="21">
      <c r="A1" s="187" t="s">
        <v>0</v>
      </c>
      <c r="B1" s="187"/>
      <c r="C1" s="187"/>
      <c r="D1" s="187"/>
      <c r="E1" s="187"/>
      <c r="F1" s="187"/>
      <c r="G1" s="187"/>
      <c r="H1" s="187"/>
      <c r="I1" s="187"/>
      <c r="J1" s="187"/>
      <c r="K1" s="187"/>
      <c r="L1" s="187"/>
    </row>
    <row r="2" spans="1:20">
      <c r="A2" s="94"/>
      <c r="B2" s="95"/>
      <c r="C2" s="96"/>
      <c r="D2" s="95"/>
      <c r="E2" s="95"/>
      <c r="F2" s="97"/>
      <c r="G2" s="97"/>
      <c r="H2" s="97"/>
      <c r="I2" s="97"/>
      <c r="J2" s="97"/>
      <c r="K2" s="97"/>
      <c r="L2" s="97"/>
    </row>
    <row r="3" spans="1:20">
      <c r="A3" s="94" t="s">
        <v>1</v>
      </c>
      <c r="B3" s="97"/>
      <c r="C3" s="94"/>
      <c r="D3" s="97"/>
      <c r="E3" s="97"/>
      <c r="F3" s="97"/>
      <c r="G3" s="97"/>
      <c r="H3" s="97"/>
      <c r="I3" s="97"/>
      <c r="J3" s="97"/>
      <c r="K3" s="97"/>
      <c r="L3" s="97"/>
    </row>
    <row r="4" spans="1:20">
      <c r="A4" s="118" t="s">
        <v>120</v>
      </c>
      <c r="B4" s="98"/>
      <c r="C4" s="99"/>
      <c r="D4" s="98"/>
      <c r="E4" s="98"/>
      <c r="F4" s="98"/>
      <c r="G4" s="98"/>
      <c r="H4" s="98"/>
      <c r="I4" s="97"/>
      <c r="J4" s="97"/>
      <c r="K4" s="97"/>
      <c r="L4" s="97"/>
    </row>
    <row r="5" spans="1:20">
      <c r="A5" s="94"/>
      <c r="B5" s="94" t="s">
        <v>119</v>
      </c>
      <c r="C5" s="94"/>
      <c r="D5" s="97"/>
      <c r="E5" s="97"/>
      <c r="F5" s="97"/>
      <c r="G5" s="97"/>
      <c r="H5" s="97"/>
      <c r="I5" s="97"/>
      <c r="J5" s="97"/>
      <c r="K5" s="97"/>
      <c r="L5" s="97"/>
    </row>
    <row r="6" spans="1:20">
      <c r="A6" s="94"/>
      <c r="B6" s="94"/>
      <c r="C6" s="94"/>
      <c r="D6" s="97"/>
      <c r="E6" s="97"/>
      <c r="F6" s="97"/>
      <c r="G6" s="97"/>
      <c r="H6" s="97"/>
      <c r="I6" s="97"/>
      <c r="J6" s="97"/>
      <c r="K6" s="97"/>
      <c r="L6" s="97"/>
    </row>
    <row r="7" spans="1:20">
      <c r="A7" s="94"/>
      <c r="B7" s="94"/>
      <c r="C7" s="94"/>
      <c r="D7" s="97"/>
      <c r="E7" s="97"/>
      <c r="F7" s="97"/>
      <c r="G7" s="97"/>
      <c r="H7" s="97"/>
      <c r="I7" s="97"/>
      <c r="J7" s="97"/>
      <c r="K7" s="97"/>
      <c r="L7" s="97"/>
      <c r="M7" s="120">
        <v>34.525197001003797</v>
      </c>
    </row>
    <row r="8" spans="1:20" ht="26.65" thickBot="1">
      <c r="A8" s="100" t="s">
        <v>36</v>
      </c>
      <c r="B8" s="100" t="s">
        <v>37</v>
      </c>
      <c r="C8" s="100" t="s">
        <v>2</v>
      </c>
      <c r="D8" s="100" t="s">
        <v>38</v>
      </c>
      <c r="E8" s="100" t="s">
        <v>39</v>
      </c>
      <c r="F8" s="100" t="s">
        <v>40</v>
      </c>
      <c r="G8" s="101" t="s">
        <v>3</v>
      </c>
      <c r="H8" s="102" t="s">
        <v>41</v>
      </c>
      <c r="I8" s="102" t="s">
        <v>42</v>
      </c>
      <c r="J8" s="102" t="s">
        <v>43</v>
      </c>
      <c r="K8" s="102" t="s">
        <v>44</v>
      </c>
      <c r="L8" s="102" t="s">
        <v>45</v>
      </c>
      <c r="M8" s="102" t="s">
        <v>46</v>
      </c>
      <c r="N8" s="103"/>
    </row>
    <row r="9" spans="1:20" ht="13.5" thickTop="1">
      <c r="A9" s="104" t="s">
        <v>8</v>
      </c>
      <c r="B9" s="104">
        <v>13</v>
      </c>
      <c r="C9" s="104" t="s">
        <v>48</v>
      </c>
      <c r="D9" s="105" t="s">
        <v>99</v>
      </c>
      <c r="E9" s="104">
        <v>395</v>
      </c>
      <c r="F9" s="104">
        <v>8</v>
      </c>
      <c r="G9" s="93" t="s">
        <v>6</v>
      </c>
      <c r="H9" s="106">
        <f>I9/1.04</f>
        <v>60795.303170725005</v>
      </c>
      <c r="I9" s="106">
        <f>J9/1.04</f>
        <v>63227.11529755401</v>
      </c>
      <c r="J9" s="106">
        <f>K9/1.04</f>
        <v>65756.199909456176</v>
      </c>
      <c r="K9" s="106">
        <f>L9/1.04</f>
        <v>68386.44790583443</v>
      </c>
      <c r="L9" s="106">
        <f>M9/1.04</f>
        <v>71121.905822067813</v>
      </c>
      <c r="M9" s="106">
        <f>(M7*1.03)*2080</f>
        <v>73966.782054950527</v>
      </c>
      <c r="N9" s="106"/>
      <c r="Q9" s="108"/>
      <c r="R9" s="108"/>
      <c r="S9" s="109"/>
      <c r="T9" s="110"/>
    </row>
    <row r="10" spans="1:20">
      <c r="A10" s="104" t="s">
        <v>13</v>
      </c>
      <c r="B10" s="104">
        <v>1</v>
      </c>
      <c r="C10" s="104" t="s">
        <v>48</v>
      </c>
      <c r="D10" s="105" t="s">
        <v>100</v>
      </c>
      <c r="E10" s="104">
        <v>470</v>
      </c>
      <c r="F10" s="104">
        <v>10</v>
      </c>
      <c r="G10" s="93" t="s">
        <v>6</v>
      </c>
      <c r="H10" s="106">
        <f>'March 1, 2015'!H10*1.025</f>
        <v>74032.02963043726</v>
      </c>
      <c r="I10" s="106">
        <f>'March 1, 2015'!I10*1.025</f>
        <v>77737.498345593151</v>
      </c>
      <c r="J10" s="106">
        <f>'March 1, 2015'!J10*1.025</f>
        <v>81632.934601317596</v>
      </c>
      <c r="K10" s="106">
        <f>'March 1, 2015'!K10*1.025</f>
        <v>85715.988472292476</v>
      </c>
      <c r="L10" s="106">
        <f>'March 1, 2015'!L10*1.025</f>
        <v>89987.834921176836</v>
      </c>
      <c r="M10" s="106">
        <f>'March 1, 2015'!M10*1.025</f>
        <v>94432.241453397801</v>
      </c>
      <c r="N10" s="106"/>
      <c r="P10" s="107"/>
      <c r="Q10" s="108"/>
      <c r="R10" s="108"/>
      <c r="S10" s="109"/>
      <c r="T10" s="110"/>
    </row>
    <row r="11" spans="1:20">
      <c r="A11" s="104" t="s">
        <v>9</v>
      </c>
      <c r="B11" s="104">
        <v>4</v>
      </c>
      <c r="C11" s="104" t="s">
        <v>48</v>
      </c>
      <c r="D11" s="105" t="s">
        <v>101</v>
      </c>
      <c r="E11" s="104">
        <v>578</v>
      </c>
      <c r="F11" s="104">
        <v>12</v>
      </c>
      <c r="G11" s="93" t="s">
        <v>6</v>
      </c>
      <c r="H11" s="106">
        <f>'March 1, 2015'!H11*1.025</f>
        <v>88885.561985200417</v>
      </c>
      <c r="I11" s="106">
        <f>'March 1, 2015'!I11*1.025</f>
        <v>93321.676162568416</v>
      </c>
      <c r="J11" s="106">
        <f>'March 1, 2015'!J11*1.025</f>
        <v>98002.70684684813</v>
      </c>
      <c r="K11" s="106">
        <f>'March 1, 2015'!K11*1.025</f>
        <v>102899.91013389072</v>
      </c>
      <c r="L11" s="106">
        <f>'March 1, 2015'!L11*1.025</f>
        <v>108042.03107769319</v>
      </c>
      <c r="M11" s="106">
        <f>'March 1, 2015'!M11*1.025</f>
        <v>113378.11577288251</v>
      </c>
      <c r="N11" s="106"/>
      <c r="P11" s="107"/>
      <c r="Q11" s="108"/>
      <c r="R11" s="108"/>
      <c r="S11" s="109"/>
      <c r="T11" s="110"/>
    </row>
    <row r="12" spans="1:20">
      <c r="A12" s="104" t="s">
        <v>10</v>
      </c>
      <c r="B12" s="104">
        <v>1</v>
      </c>
      <c r="C12" s="104" t="s">
        <v>48</v>
      </c>
      <c r="D12" s="105" t="s">
        <v>102</v>
      </c>
      <c r="E12" s="104">
        <v>485</v>
      </c>
      <c r="F12" s="104">
        <v>10</v>
      </c>
      <c r="G12" s="93" t="s">
        <v>6</v>
      </c>
      <c r="H12" s="106">
        <f>'March 1, 2015'!H12*1.025</f>
        <v>74032.02963043726</v>
      </c>
      <c r="I12" s="106">
        <f>'March 1, 2015'!I12*1.025</f>
        <v>77737.498345593151</v>
      </c>
      <c r="J12" s="106">
        <f>'March 1, 2015'!J12*1.025</f>
        <v>81632.934601317596</v>
      </c>
      <c r="K12" s="106">
        <f>'March 1, 2015'!K12*1.025</f>
        <v>85715.988472292476</v>
      </c>
      <c r="L12" s="106">
        <f>'March 1, 2015'!L12*1.025</f>
        <v>89987.834921176836</v>
      </c>
      <c r="M12" s="106">
        <f>'March 1, 2015'!M12*1.025</f>
        <v>94432.241453397801</v>
      </c>
      <c r="N12" s="106"/>
      <c r="P12" s="107"/>
      <c r="Q12" s="108"/>
      <c r="R12" s="108"/>
      <c r="S12" s="109"/>
      <c r="T12" s="110"/>
    </row>
    <row r="13" spans="1:20">
      <c r="A13" s="104" t="s">
        <v>78</v>
      </c>
      <c r="B13" s="104">
        <v>1</v>
      </c>
      <c r="C13" s="104" t="s">
        <v>48</v>
      </c>
      <c r="D13" s="105" t="s">
        <v>92</v>
      </c>
      <c r="E13" s="104"/>
      <c r="F13" s="104">
        <v>10</v>
      </c>
      <c r="G13" s="93" t="s">
        <v>6</v>
      </c>
      <c r="H13" s="106">
        <f>'March 1, 2015'!H13*1.025</f>
        <v>74032.02963043726</v>
      </c>
      <c r="I13" s="106">
        <f>'March 1, 2015'!I13*1.025</f>
        <v>77737.498345593151</v>
      </c>
      <c r="J13" s="106">
        <f>'March 1, 2015'!J13*1.025</f>
        <v>81632.934601317596</v>
      </c>
      <c r="K13" s="106">
        <f>'March 1, 2015'!K13*1.025</f>
        <v>85715.988472292476</v>
      </c>
      <c r="L13" s="106">
        <f>'March 1, 2015'!L13*1.025</f>
        <v>89987.834921176836</v>
      </c>
      <c r="M13" s="106">
        <f>'March 1, 2015'!M13*1.025</f>
        <v>94432.241453397801</v>
      </c>
      <c r="N13" s="106"/>
      <c r="P13" s="107"/>
      <c r="Q13" s="108"/>
      <c r="R13" s="108"/>
      <c r="S13" s="109"/>
      <c r="T13" s="110"/>
    </row>
    <row r="14" spans="1:20">
      <c r="A14" s="104" t="s">
        <v>11</v>
      </c>
      <c r="B14" s="104">
        <v>2</v>
      </c>
      <c r="C14" s="104" t="s">
        <v>48</v>
      </c>
      <c r="D14" s="105" t="s">
        <v>103</v>
      </c>
      <c r="E14" s="104">
        <v>523</v>
      </c>
      <c r="F14" s="104">
        <v>11</v>
      </c>
      <c r="G14" s="93" t="s">
        <v>6</v>
      </c>
      <c r="H14" s="106">
        <f>'March 1, 2015'!H14*1.025</f>
        <v>80815.926491969978</v>
      </c>
      <c r="I14" s="106">
        <f>'March 1, 2015'!I14*1.025</f>
        <v>84853.043359968695</v>
      </c>
      <c r="J14" s="106">
        <f>'March 1, 2015'!J14*1.025</f>
        <v>89101.732288266998</v>
      </c>
      <c r="K14" s="106">
        <f>'March 1, 2015'!K14*1.025</f>
        <v>93536.696617481241</v>
      </c>
      <c r="L14" s="106">
        <f>'March 1, 2015'!L14*1.025</f>
        <v>98218.879449611049</v>
      </c>
      <c r="M14" s="106">
        <f>'March 1, 2015'!M14*1.025</f>
        <v>103069.80879795727</v>
      </c>
      <c r="N14" s="106"/>
      <c r="P14" s="107"/>
      <c r="Q14" s="108"/>
      <c r="R14" s="108"/>
      <c r="S14" s="109"/>
      <c r="T14" s="110"/>
    </row>
    <row r="15" spans="1:20" ht="14.25" customHeight="1">
      <c r="A15" s="104" t="s">
        <v>16</v>
      </c>
      <c r="B15" s="104">
        <v>5</v>
      </c>
      <c r="C15" s="104" t="s">
        <v>48</v>
      </c>
      <c r="D15" s="105" t="s">
        <v>104</v>
      </c>
      <c r="E15" s="104">
        <v>625</v>
      </c>
      <c r="F15" s="104">
        <v>13</v>
      </c>
      <c r="G15" s="93" t="s">
        <v>6</v>
      </c>
      <c r="H15" s="106">
        <f>'March 1, 2015'!H15*1.025</f>
        <v>93813.811172395668</v>
      </c>
      <c r="I15" s="106">
        <f>'March 1, 2015'!I15*1.025</f>
        <v>98494.841856675353</v>
      </c>
      <c r="J15" s="106">
        <f>'March 1, 2015'!J15*1.025</f>
        <v>103423.09104387062</v>
      </c>
      <c r="K15" s="106">
        <f>'March 1, 2015'!K15*1.025</f>
        <v>108597.4088858277</v>
      </c>
      <c r="L15" s="106">
        <f>'March 1, 2015'!L15*1.025</f>
        <v>114017.79308285023</v>
      </c>
      <c r="M15" s="106">
        <f>'March 1, 2015'!M15*1.025</f>
        <v>119649.01451195455</v>
      </c>
      <c r="N15" s="106"/>
      <c r="P15" s="107"/>
      <c r="Q15" s="108"/>
      <c r="R15" s="108"/>
      <c r="S15" s="109"/>
      <c r="T15" s="110"/>
    </row>
    <row r="16" spans="1:20">
      <c r="A16" s="104" t="s">
        <v>18</v>
      </c>
      <c r="B16" s="104">
        <v>5</v>
      </c>
      <c r="C16" s="104" t="s">
        <v>48</v>
      </c>
      <c r="D16" s="105" t="s">
        <v>105</v>
      </c>
      <c r="E16" s="104">
        <v>588</v>
      </c>
      <c r="F16" s="104">
        <v>13</v>
      </c>
      <c r="G16" s="93" t="s">
        <v>6</v>
      </c>
      <c r="H16" s="106">
        <f>'March 1, 2015'!H16*1.025</f>
        <v>93813.811172395668</v>
      </c>
      <c r="I16" s="106">
        <f>'March 1, 2015'!I16*1.025</f>
        <v>98494.841856675353</v>
      </c>
      <c r="J16" s="106">
        <f>'March 1, 2015'!J16*1.025</f>
        <v>103423.09104387062</v>
      </c>
      <c r="K16" s="106">
        <f>'March 1, 2015'!K16*1.025</f>
        <v>108597.4088858277</v>
      </c>
      <c r="L16" s="106">
        <f>'March 1, 2015'!L16*1.025</f>
        <v>114017.79308285023</v>
      </c>
      <c r="M16" s="106">
        <f>'March 1, 2015'!M16*1.025</f>
        <v>119649.01451195455</v>
      </c>
      <c r="N16" s="106"/>
      <c r="P16" s="107"/>
      <c r="Q16" s="108"/>
      <c r="R16" s="108"/>
      <c r="S16" s="109"/>
      <c r="T16" s="110"/>
    </row>
    <row r="17" spans="1:20">
      <c r="A17" s="104" t="s">
        <v>20</v>
      </c>
      <c r="B17" s="104">
        <v>5</v>
      </c>
      <c r="C17" s="104" t="s">
        <v>48</v>
      </c>
      <c r="D17" s="105" t="s">
        <v>107</v>
      </c>
      <c r="E17" s="104">
        <v>605</v>
      </c>
      <c r="F17" s="104">
        <v>13</v>
      </c>
      <c r="G17" s="93" t="s">
        <v>6</v>
      </c>
      <c r="H17" s="106">
        <f>'March 1, 2015'!H17*1.025</f>
        <v>93813.811172395668</v>
      </c>
      <c r="I17" s="106">
        <f>'March 1, 2015'!I17*1.025</f>
        <v>98494.841856675353</v>
      </c>
      <c r="J17" s="106">
        <f>'March 1, 2015'!J17*1.025</f>
        <v>103423.09104387062</v>
      </c>
      <c r="K17" s="106">
        <f>'March 1, 2015'!K17*1.025</f>
        <v>108597.4088858277</v>
      </c>
      <c r="L17" s="106">
        <f>'March 1, 2015'!L17*1.025</f>
        <v>114017.79308285023</v>
      </c>
      <c r="M17" s="106">
        <f>'March 1, 2015'!M17*1.025</f>
        <v>119649.01451195455</v>
      </c>
      <c r="N17" s="106"/>
      <c r="P17" s="107"/>
      <c r="Q17" s="108"/>
      <c r="R17" s="108"/>
      <c r="S17" s="109"/>
      <c r="T17" s="110"/>
    </row>
    <row r="18" spans="1:20">
      <c r="A18" s="111"/>
      <c r="D18" s="112"/>
      <c r="E18" s="113"/>
      <c r="F18" s="113"/>
      <c r="G18" s="113"/>
      <c r="H18" s="114"/>
      <c r="N18" s="106"/>
    </row>
    <row r="19" spans="1:20">
      <c r="A19" s="115" t="s">
        <v>67</v>
      </c>
      <c r="N19" s="116"/>
    </row>
    <row r="20" spans="1:20" ht="12" customHeight="1">
      <c r="A20" s="117" t="s">
        <v>29</v>
      </c>
    </row>
    <row r="21" spans="1:20">
      <c r="A21" s="93" t="s">
        <v>30</v>
      </c>
    </row>
    <row r="22" spans="1:20">
      <c r="A22" s="93" t="s">
        <v>31</v>
      </c>
    </row>
    <row r="24" spans="1:20">
      <c r="A24" s="115" t="s">
        <v>68</v>
      </c>
    </row>
    <row r="25" spans="1:20">
      <c r="A25" s="93" t="s">
        <v>33</v>
      </c>
    </row>
    <row r="26" spans="1:20">
      <c r="A26" s="93" t="s">
        <v>34</v>
      </c>
    </row>
    <row r="28" spans="1:20">
      <c r="A28" s="94" t="s">
        <v>70</v>
      </c>
      <c r="B28" s="97"/>
      <c r="C28" s="94"/>
      <c r="D28" s="97"/>
      <c r="E28" s="97"/>
      <c r="F28" s="97"/>
      <c r="G28" s="97"/>
    </row>
    <row r="29" spans="1:20">
      <c r="A29" s="118" t="s">
        <v>75</v>
      </c>
      <c r="B29" s="97"/>
      <c r="C29" s="94"/>
      <c r="D29" s="97"/>
      <c r="E29" s="97"/>
      <c r="F29" s="97"/>
      <c r="G29" s="97"/>
    </row>
    <row r="30" spans="1:20">
      <c r="A30" s="106">
        <f>'March 1, 2015'!A30*1.025</f>
        <v>589.33922541550976</v>
      </c>
      <c r="B30" s="119" t="s">
        <v>24</v>
      </c>
      <c r="C30" s="94"/>
      <c r="D30" s="97"/>
      <c r="E30" s="97"/>
      <c r="F30" s="97"/>
      <c r="G30" s="97"/>
    </row>
    <row r="31" spans="1:20">
      <c r="A31" s="106">
        <f>'March 1, 2015'!A31*1.025</f>
        <v>826.76218534772943</v>
      </c>
      <c r="B31" s="119" t="s">
        <v>25</v>
      </c>
      <c r="C31" s="94"/>
      <c r="D31" s="97"/>
      <c r="E31" s="97"/>
      <c r="F31" s="97"/>
      <c r="G31" s="97"/>
    </row>
    <row r="32" spans="1:20">
      <c r="A32" s="106">
        <f>'March 1, 2015'!A32*1.025</f>
        <v>1002.7203180893744</v>
      </c>
      <c r="B32" s="119" t="s">
        <v>26</v>
      </c>
      <c r="C32" s="94"/>
      <c r="D32" s="97"/>
      <c r="E32" s="97"/>
      <c r="F32" s="97"/>
      <c r="G32" s="97"/>
    </row>
    <row r="33" spans="1:6">
      <c r="A33" s="106">
        <f>'March 1, 2015'!A33*1.025</f>
        <v>1182.2940289010533</v>
      </c>
      <c r="B33" s="119" t="s">
        <v>27</v>
      </c>
      <c r="C33" s="104"/>
      <c r="D33" s="105"/>
      <c r="E33" s="104"/>
      <c r="F33" s="104"/>
    </row>
    <row r="34" spans="1:6">
      <c r="A34" s="104"/>
      <c r="B34" s="104"/>
      <c r="C34" s="104"/>
      <c r="D34" s="105"/>
      <c r="E34" s="104"/>
      <c r="F34" s="104"/>
    </row>
  </sheetData>
  <sheetProtection password="E3B7" sheet="1"/>
  <mergeCells count="1">
    <mergeCell ref="A1:L1"/>
  </mergeCells>
  <pageMargins left="0.25" right="0.25" top="1" bottom="0.5" header="0.5" footer="0.5"/>
  <pageSetup scale="96" orientation="landscape" r:id="rId1"/>
  <headerFooter alignWithMargins="0"/>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T31"/>
  <sheetViews>
    <sheetView zoomScaleNormal="100" workbookViewId="0">
      <selection activeCell="J30" sqref="J30"/>
    </sheetView>
  </sheetViews>
  <sheetFormatPr defaultColWidth="9.265625" defaultRowHeight="13.15"/>
  <cols>
    <col min="1" max="1" width="9" style="93" customWidth="1"/>
    <col min="2" max="2" width="6.265625" style="112" customWidth="1"/>
    <col min="3" max="3" width="5.73046875" style="93" customWidth="1"/>
    <col min="4" max="4" width="38" style="93" customWidth="1"/>
    <col min="5" max="5" width="5.265625" style="93" hidden="1" customWidth="1"/>
    <col min="6" max="6" width="6.265625" style="93" customWidth="1"/>
    <col min="7" max="7" width="2.59765625" style="93" customWidth="1"/>
    <col min="8" max="8" width="11.73046875" style="93" customWidth="1"/>
    <col min="9" max="9" width="10.265625" style="93" customWidth="1"/>
    <col min="10" max="10" width="9.73046875" style="93" customWidth="1"/>
    <col min="11" max="12" width="10.59765625" style="93" customWidth="1"/>
    <col min="13" max="13" width="9.73046875" style="93" customWidth="1"/>
    <col min="14" max="15" width="9.265625" style="93" hidden="1" customWidth="1"/>
    <col min="16" max="17" width="9.265625" style="93"/>
    <col min="18" max="18" width="28.73046875" style="93" customWidth="1"/>
    <col min="19" max="16384" width="9.265625" style="93"/>
  </cols>
  <sheetData>
    <row r="1" spans="1:20" ht="21">
      <c r="A1" s="187" t="s">
        <v>0</v>
      </c>
      <c r="B1" s="187"/>
      <c r="C1" s="187"/>
      <c r="D1" s="187"/>
      <c r="E1" s="187"/>
      <c r="F1" s="187"/>
      <c r="G1" s="187"/>
      <c r="H1" s="187"/>
      <c r="I1" s="187"/>
      <c r="J1" s="187"/>
      <c r="K1" s="187"/>
      <c r="L1" s="187"/>
    </row>
    <row r="2" spans="1:20">
      <c r="A2" s="94"/>
      <c r="B2" s="95"/>
      <c r="C2" s="96"/>
      <c r="D2" s="123" t="s">
        <v>130</v>
      </c>
      <c r="E2" s="95"/>
      <c r="F2" s="97"/>
      <c r="G2" s="97"/>
      <c r="H2" s="97"/>
      <c r="I2" s="97"/>
      <c r="J2" s="97"/>
      <c r="K2" s="97"/>
      <c r="L2" s="97"/>
    </row>
    <row r="3" spans="1:20">
      <c r="A3" s="94" t="s">
        <v>1</v>
      </c>
      <c r="B3" s="97"/>
      <c r="C3" s="94"/>
      <c r="D3" s="97"/>
      <c r="E3" s="97"/>
      <c r="F3" s="97"/>
      <c r="G3" s="97"/>
      <c r="H3" s="97"/>
      <c r="I3" s="97"/>
      <c r="J3" s="97"/>
      <c r="K3" s="97"/>
      <c r="L3" s="97"/>
    </row>
    <row r="4" spans="1:20">
      <c r="A4" s="118" t="s">
        <v>122</v>
      </c>
      <c r="B4" s="98"/>
      <c r="C4" s="99"/>
      <c r="D4" s="98"/>
      <c r="E4" s="98"/>
      <c r="F4" s="98"/>
      <c r="G4" s="98"/>
      <c r="I4" s="97"/>
      <c r="J4" s="97"/>
      <c r="K4" s="97"/>
      <c r="L4" s="97"/>
    </row>
    <row r="5" spans="1:20">
      <c r="A5" s="94" t="s">
        <v>119</v>
      </c>
      <c r="C5" s="94"/>
      <c r="D5" s="97"/>
      <c r="E5" s="97"/>
      <c r="F5" s="97"/>
      <c r="G5" s="97"/>
      <c r="H5" s="97"/>
      <c r="I5" s="97"/>
      <c r="J5" s="97"/>
      <c r="K5" s="97"/>
      <c r="L5" s="97"/>
    </row>
    <row r="6" spans="1:20">
      <c r="A6" s="94"/>
      <c r="B6" s="94"/>
      <c r="C6" s="94"/>
      <c r="D6" s="97"/>
      <c r="E6" s="97"/>
      <c r="F6" s="97"/>
      <c r="G6" s="97"/>
      <c r="H6" s="97"/>
      <c r="I6" s="97"/>
      <c r="J6" s="97"/>
      <c r="K6" s="97"/>
      <c r="L6" s="97"/>
    </row>
    <row r="7" spans="1:20">
      <c r="A7" s="94"/>
      <c r="B7" s="94"/>
      <c r="C7" s="94"/>
      <c r="D7" s="97"/>
      <c r="E7" s="97"/>
      <c r="F7" s="97"/>
      <c r="G7" s="97"/>
      <c r="H7" s="97"/>
      <c r="I7" s="97"/>
      <c r="J7" s="97"/>
      <c r="K7" s="97"/>
      <c r="L7" s="97"/>
      <c r="M7" s="120">
        <v>34.525197001003797</v>
      </c>
    </row>
    <row r="8" spans="1:20" ht="39.75" thickBot="1">
      <c r="A8" s="100" t="s">
        <v>36</v>
      </c>
      <c r="B8" s="100" t="s">
        <v>37</v>
      </c>
      <c r="C8" s="100" t="s">
        <v>2</v>
      </c>
      <c r="D8" s="100" t="s">
        <v>38</v>
      </c>
      <c r="E8" s="100" t="s">
        <v>39</v>
      </c>
      <c r="F8" s="100" t="s">
        <v>40</v>
      </c>
      <c r="G8" s="101" t="s">
        <v>3</v>
      </c>
      <c r="H8" s="102" t="s">
        <v>41</v>
      </c>
      <c r="I8" s="102" t="s">
        <v>42</v>
      </c>
      <c r="J8" s="102" t="s">
        <v>43</v>
      </c>
      <c r="K8" s="102" t="s">
        <v>44</v>
      </c>
      <c r="L8" s="102" t="s">
        <v>45</v>
      </c>
      <c r="M8" s="102" t="s">
        <v>46</v>
      </c>
      <c r="N8" s="103"/>
    </row>
    <row r="9" spans="1:20" ht="13.5" thickTop="1">
      <c r="A9" s="104" t="s">
        <v>8</v>
      </c>
      <c r="B9" s="104">
        <v>13</v>
      </c>
      <c r="C9" s="104" t="s">
        <v>48</v>
      </c>
      <c r="D9" s="105" t="s">
        <v>99</v>
      </c>
      <c r="E9" s="104">
        <v>395</v>
      </c>
      <c r="F9" s="104">
        <v>8</v>
      </c>
      <c r="G9" s="93" t="s">
        <v>6</v>
      </c>
      <c r="H9" s="122">
        <f>('March 1, 2016'!H9*1.025)+90</f>
        <v>62405.185749993121</v>
      </c>
      <c r="I9" s="122">
        <f>('March 1, 2016'!I9*1.025)+90</f>
        <v>64897.793179992856</v>
      </c>
      <c r="J9" s="122">
        <f>('March 1, 2016'!J9*1.025)+90</f>
        <v>67490.104907192581</v>
      </c>
      <c r="K9" s="122">
        <f>('March 1, 2016'!K9*1.025)+90</f>
        <v>70186.109103480281</v>
      </c>
      <c r="L9" s="122">
        <f>('March 1, 2016'!L9*1.025)+90</f>
        <v>72989.953467619503</v>
      </c>
      <c r="M9" s="122">
        <f>('March 1, 2016'!M9*1.025)+90</f>
        <v>75905.951606324277</v>
      </c>
      <c r="N9" s="106"/>
      <c r="Q9" s="108"/>
      <c r="R9" s="108"/>
      <c r="S9" s="109"/>
      <c r="T9" s="110"/>
    </row>
    <row r="10" spans="1:20">
      <c r="A10" s="104" t="s">
        <v>13</v>
      </c>
      <c r="B10" s="104">
        <v>1</v>
      </c>
      <c r="C10" s="104" t="s">
        <v>48</v>
      </c>
      <c r="D10" s="105" t="s">
        <v>100</v>
      </c>
      <c r="E10" s="104">
        <v>470</v>
      </c>
      <c r="F10" s="104">
        <v>10</v>
      </c>
      <c r="G10" s="93" t="s">
        <v>6</v>
      </c>
      <c r="H10" s="122">
        <f>('March 1, 2016'!H10*1.025)+90</f>
        <v>75972.830371198186</v>
      </c>
      <c r="I10" s="122">
        <f>('March 1, 2016'!I10*1.025)+90</f>
        <v>79770.93580423297</v>
      </c>
      <c r="J10" s="122">
        <f>('March 1, 2016'!J10*1.025)+90</f>
        <v>83763.757966350531</v>
      </c>
      <c r="K10" s="122">
        <f>('March 1, 2016'!K10*1.025)+90</f>
        <v>87948.888184099778</v>
      </c>
      <c r="L10" s="122">
        <f>('March 1, 2016'!L10*1.025)+90</f>
        <v>92327.53079420625</v>
      </c>
      <c r="M10" s="122">
        <f>('March 1, 2016'!M10*1.025)+90</f>
        <v>96883.047489732737</v>
      </c>
      <c r="N10" s="106"/>
      <c r="P10" s="107"/>
      <c r="Q10" s="108"/>
      <c r="R10" s="108"/>
      <c r="S10" s="109"/>
      <c r="T10" s="110"/>
    </row>
    <row r="11" spans="1:20">
      <c r="A11" s="104" t="s">
        <v>9</v>
      </c>
      <c r="B11" s="104">
        <v>4</v>
      </c>
      <c r="C11" s="104" t="s">
        <v>48</v>
      </c>
      <c r="D11" s="105" t="s">
        <v>101</v>
      </c>
      <c r="E11" s="104">
        <v>578</v>
      </c>
      <c r="F11" s="104">
        <v>12</v>
      </c>
      <c r="G11" s="93" t="s">
        <v>6</v>
      </c>
      <c r="H11" s="122">
        <f>('March 1, 2016'!H11*1.025)+90</f>
        <v>91197.701034830417</v>
      </c>
      <c r="I11" s="122">
        <f>('March 1, 2016'!I11*1.025)+90</f>
        <v>95744.718066632617</v>
      </c>
      <c r="J11" s="122">
        <f>('March 1, 2016'!J11*1.025)+90</f>
        <v>100542.77451801933</v>
      </c>
      <c r="K11" s="122">
        <f>('March 1, 2016'!K11*1.025)+90</f>
        <v>105562.40788723798</v>
      </c>
      <c r="L11" s="122">
        <f>('March 1, 2016'!L11*1.025)+90</f>
        <v>110833.0818546355</v>
      </c>
      <c r="M11" s="122">
        <f>('March 1, 2016'!M11*1.025)+90</f>
        <v>116302.56866720456</v>
      </c>
      <c r="N11" s="106"/>
      <c r="P11" s="107"/>
      <c r="Q11" s="108"/>
      <c r="R11" s="108"/>
      <c r="S11" s="109"/>
      <c r="T11" s="110"/>
    </row>
    <row r="12" spans="1:20">
      <c r="A12" s="104" t="s">
        <v>10</v>
      </c>
      <c r="B12" s="104">
        <v>1</v>
      </c>
      <c r="C12" s="104" t="s">
        <v>48</v>
      </c>
      <c r="D12" s="105" t="s">
        <v>102</v>
      </c>
      <c r="E12" s="104">
        <v>485</v>
      </c>
      <c r="F12" s="104">
        <v>10</v>
      </c>
      <c r="G12" s="93" t="s">
        <v>6</v>
      </c>
      <c r="H12" s="122">
        <f>('March 1, 2016'!H12*1.025)+90</f>
        <v>75972.830371198186</v>
      </c>
      <c r="I12" s="122">
        <f>('March 1, 2016'!I12*1.025)+90</f>
        <v>79770.93580423297</v>
      </c>
      <c r="J12" s="122">
        <f>('March 1, 2016'!J12*1.025)+90</f>
        <v>83763.757966350531</v>
      </c>
      <c r="K12" s="122">
        <f>('March 1, 2016'!K12*1.025)+90</f>
        <v>87948.888184099778</v>
      </c>
      <c r="L12" s="122">
        <f>('March 1, 2016'!L12*1.025)+90</f>
        <v>92327.53079420625</v>
      </c>
      <c r="M12" s="122">
        <f>('March 1, 2016'!M12*1.025)+90</f>
        <v>96883.047489732737</v>
      </c>
      <c r="N12" s="106"/>
      <c r="P12" s="107"/>
      <c r="Q12" s="108"/>
      <c r="R12" s="108"/>
      <c r="S12" s="109"/>
      <c r="T12" s="110"/>
    </row>
    <row r="13" spans="1:20">
      <c r="A13" s="104" t="s">
        <v>78</v>
      </c>
      <c r="B13" s="104">
        <v>1</v>
      </c>
      <c r="C13" s="104" t="s">
        <v>48</v>
      </c>
      <c r="D13" s="105" t="s">
        <v>92</v>
      </c>
      <c r="E13" s="104">
        <v>470</v>
      </c>
      <c r="F13" s="104">
        <v>10</v>
      </c>
      <c r="G13" s="93" t="s">
        <v>6</v>
      </c>
      <c r="H13" s="122">
        <f>('March 1, 2016'!H13*1.025)+90</f>
        <v>75972.830371198186</v>
      </c>
      <c r="I13" s="122">
        <f>('March 1, 2016'!I13*1.025)+90</f>
        <v>79770.93580423297</v>
      </c>
      <c r="J13" s="122">
        <f>('March 1, 2016'!J13*1.025)+90</f>
        <v>83763.757966350531</v>
      </c>
      <c r="K13" s="122">
        <f>('March 1, 2016'!K13*1.025)+90</f>
        <v>87948.888184099778</v>
      </c>
      <c r="L13" s="122">
        <f>('March 1, 2016'!L13*1.025)+90</f>
        <v>92327.53079420625</v>
      </c>
      <c r="M13" s="122">
        <f>('March 1, 2016'!M13*1.025)+90</f>
        <v>96883.047489732737</v>
      </c>
      <c r="N13" s="106"/>
      <c r="P13" s="107"/>
      <c r="Q13" s="108"/>
      <c r="R13" s="108"/>
      <c r="S13" s="109"/>
      <c r="T13" s="110"/>
    </row>
    <row r="14" spans="1:20">
      <c r="A14" s="104" t="s">
        <v>11</v>
      </c>
      <c r="B14" s="104">
        <v>2</v>
      </c>
      <c r="C14" s="104" t="s">
        <v>48</v>
      </c>
      <c r="D14" s="105" t="s">
        <v>103</v>
      </c>
      <c r="E14" s="104">
        <v>523</v>
      </c>
      <c r="F14" s="104">
        <v>11</v>
      </c>
      <c r="G14" s="93" t="s">
        <v>6</v>
      </c>
      <c r="H14" s="122">
        <f>('March 1, 2016'!H14*1.025)+90</f>
        <v>82926.324654269221</v>
      </c>
      <c r="I14" s="122">
        <f>('March 1, 2016'!I14*1.025)+90</f>
        <v>87064.369443967909</v>
      </c>
      <c r="J14" s="122">
        <f>('March 1, 2016'!J14*1.025)+90</f>
        <v>91419.275595473664</v>
      </c>
      <c r="K14" s="122">
        <f>('March 1, 2016'!K14*1.025)+90</f>
        <v>95965.114032918267</v>
      </c>
      <c r="L14" s="122">
        <f>('March 1, 2016'!L14*1.025)+90</f>
        <v>100764.35143585132</v>
      </c>
      <c r="M14" s="122">
        <f>('March 1, 2016'!M14*1.025)+90</f>
        <v>105736.55401790619</v>
      </c>
      <c r="N14" s="106"/>
      <c r="P14" s="107"/>
      <c r="Q14" s="108"/>
      <c r="R14" s="108"/>
      <c r="S14" s="109"/>
      <c r="T14" s="110"/>
    </row>
    <row r="15" spans="1:20" ht="14.25" customHeight="1">
      <c r="A15" s="104" t="s">
        <v>16</v>
      </c>
      <c r="B15" s="104">
        <v>5</v>
      </c>
      <c r="C15" s="104" t="s">
        <v>48</v>
      </c>
      <c r="D15" s="105" t="s">
        <v>104</v>
      </c>
      <c r="E15" s="104">
        <v>625</v>
      </c>
      <c r="F15" s="104">
        <v>13</v>
      </c>
      <c r="G15" s="93" t="s">
        <v>6</v>
      </c>
      <c r="H15" s="122">
        <f>('March 1, 2016'!H15*1.025)+90</f>
        <v>96249.156451705552</v>
      </c>
      <c r="I15" s="122">
        <f>('March 1, 2016'!I15*1.025)+90</f>
        <v>101047.21290309222</v>
      </c>
      <c r="J15" s="122">
        <f>('March 1, 2016'!J15*1.025)+90</f>
        <v>106098.66831996737</v>
      </c>
      <c r="K15" s="122">
        <f>('March 1, 2016'!K15*1.025)+90</f>
        <v>111402.34410797337</v>
      </c>
      <c r="L15" s="122">
        <f>('March 1, 2016'!L15*1.025)+90</f>
        <v>116958.23790992147</v>
      </c>
      <c r="M15" s="122">
        <f>('March 1, 2016'!M15*1.025)+90</f>
        <v>122730.2398747534</v>
      </c>
      <c r="N15" s="106"/>
      <c r="P15" s="107"/>
      <c r="Q15" s="108"/>
      <c r="R15" s="108"/>
      <c r="S15" s="109"/>
      <c r="T15" s="110"/>
    </row>
    <row r="16" spans="1:20">
      <c r="A16" s="104" t="s">
        <v>18</v>
      </c>
      <c r="B16" s="104">
        <v>5</v>
      </c>
      <c r="C16" s="104" t="s">
        <v>48</v>
      </c>
      <c r="D16" s="105" t="s">
        <v>105</v>
      </c>
      <c r="E16" s="104">
        <v>588</v>
      </c>
      <c r="F16" s="104">
        <v>13</v>
      </c>
      <c r="G16" s="93" t="s">
        <v>6</v>
      </c>
      <c r="H16" s="122">
        <f>('March 1, 2016'!H16*1.025)+90</f>
        <v>96249.156451705552</v>
      </c>
      <c r="I16" s="122">
        <f>('March 1, 2016'!I16*1.025)+90</f>
        <v>101047.21290309222</v>
      </c>
      <c r="J16" s="122">
        <f>('March 1, 2016'!J16*1.025)+90</f>
        <v>106098.66831996737</v>
      </c>
      <c r="K16" s="122">
        <f>('March 1, 2016'!K16*1.025)+90</f>
        <v>111402.34410797337</v>
      </c>
      <c r="L16" s="122">
        <f>('March 1, 2016'!L16*1.025)+90</f>
        <v>116958.23790992147</v>
      </c>
      <c r="M16" s="122">
        <f>('March 1, 2016'!M16*1.025)+90</f>
        <v>122730.2398747534</v>
      </c>
      <c r="N16" s="106"/>
      <c r="P16" s="107"/>
      <c r="Q16" s="108"/>
      <c r="R16" s="108"/>
      <c r="S16" s="109"/>
      <c r="T16" s="110"/>
    </row>
    <row r="17" spans="1:20">
      <c r="A17" s="104" t="s">
        <v>20</v>
      </c>
      <c r="B17" s="104">
        <v>5</v>
      </c>
      <c r="C17" s="104" t="s">
        <v>48</v>
      </c>
      <c r="D17" s="105" t="s">
        <v>107</v>
      </c>
      <c r="E17" s="104">
        <v>605</v>
      </c>
      <c r="F17" s="104">
        <v>13</v>
      </c>
      <c r="G17" s="93" t="s">
        <v>6</v>
      </c>
      <c r="H17" s="122">
        <f>('March 1, 2016'!H17*1.025)+90</f>
        <v>96249.156451705552</v>
      </c>
      <c r="I17" s="122">
        <f>('March 1, 2016'!I17*1.025)+90</f>
        <v>101047.21290309222</v>
      </c>
      <c r="J17" s="122">
        <f>('March 1, 2016'!J17*1.025)+90</f>
        <v>106098.66831996737</v>
      </c>
      <c r="K17" s="122">
        <f>('March 1, 2016'!K17*1.025)+90</f>
        <v>111402.34410797337</v>
      </c>
      <c r="L17" s="122">
        <f>('March 1, 2016'!L17*1.025)+90</f>
        <v>116958.23790992147</v>
      </c>
      <c r="M17" s="122">
        <f>('March 1, 2016'!M17*1.025)+90</f>
        <v>122730.2398747534</v>
      </c>
      <c r="N17" s="106"/>
      <c r="P17" s="107"/>
      <c r="Q17" s="108"/>
      <c r="R17" s="108"/>
      <c r="S17" s="109"/>
      <c r="T17" s="110"/>
    </row>
    <row r="18" spans="1:20">
      <c r="A18" s="104" t="s">
        <v>127</v>
      </c>
      <c r="B18" s="112">
        <v>5</v>
      </c>
      <c r="C18" s="104" t="s">
        <v>48</v>
      </c>
      <c r="D18" s="105" t="s">
        <v>125</v>
      </c>
      <c r="E18" s="104">
        <v>600</v>
      </c>
      <c r="F18" s="104">
        <v>13</v>
      </c>
      <c r="G18" s="93" t="s">
        <v>6</v>
      </c>
      <c r="H18" s="122">
        <v>96249.156451705552</v>
      </c>
      <c r="I18" s="122">
        <v>101047.21290309222</v>
      </c>
      <c r="J18" s="122">
        <v>106098.66831996737</v>
      </c>
      <c r="K18" s="122">
        <v>111402.34410797337</v>
      </c>
      <c r="L18" s="122">
        <v>116958.23790992147</v>
      </c>
      <c r="M18" s="122">
        <v>122730.2398747534</v>
      </c>
      <c r="N18" s="106"/>
    </row>
    <row r="19" spans="1:20">
      <c r="B19" s="93" t="s">
        <v>124</v>
      </c>
    </row>
    <row r="20" spans="1:20">
      <c r="B20" s="93"/>
    </row>
    <row r="21" spans="1:20">
      <c r="A21" s="115" t="s">
        <v>68</v>
      </c>
    </row>
    <row r="22" spans="1:20">
      <c r="A22" s="93" t="s">
        <v>33</v>
      </c>
    </row>
    <row r="23" spans="1:20">
      <c r="A23" s="93" t="s">
        <v>34</v>
      </c>
    </row>
    <row r="25" spans="1:20">
      <c r="A25" s="94" t="s">
        <v>70</v>
      </c>
      <c r="B25" s="97"/>
      <c r="C25" s="94"/>
      <c r="D25" s="97"/>
      <c r="E25" s="97"/>
      <c r="F25" s="97"/>
      <c r="G25" s="97"/>
    </row>
    <row r="26" spans="1:20">
      <c r="A26" s="118" t="s">
        <v>75</v>
      </c>
      <c r="B26" s="97"/>
      <c r="C26" s="94"/>
      <c r="D26" s="97"/>
      <c r="E26" s="97"/>
      <c r="F26" s="97"/>
      <c r="G26" s="97"/>
    </row>
    <row r="27" spans="1:20">
      <c r="A27" s="106">
        <f>'March 1, 2016'!A30*1.025</f>
        <v>604.07270605089741</v>
      </c>
      <c r="B27" s="119" t="s">
        <v>24</v>
      </c>
      <c r="C27" s="94"/>
      <c r="D27" s="97"/>
      <c r="E27" s="97"/>
      <c r="F27" s="97"/>
      <c r="G27" s="97"/>
    </row>
    <row r="28" spans="1:20">
      <c r="A28" s="106">
        <f>'March 1, 2016'!A31*1.025</f>
        <v>847.43123998142255</v>
      </c>
      <c r="B28" s="119" t="s">
        <v>25</v>
      </c>
      <c r="C28" s="94"/>
      <c r="D28" s="97"/>
      <c r="E28" s="97"/>
      <c r="F28" s="97"/>
      <c r="G28" s="97"/>
    </row>
    <row r="29" spans="1:20">
      <c r="A29" s="106">
        <f>'March 1, 2016'!A32*1.025</f>
        <v>1027.7883260416086</v>
      </c>
      <c r="B29" s="119" t="s">
        <v>26</v>
      </c>
      <c r="C29" s="94"/>
      <c r="D29" s="97"/>
      <c r="E29" s="97"/>
      <c r="F29" s="97"/>
      <c r="G29" s="97"/>
    </row>
    <row r="30" spans="1:20">
      <c r="A30" s="106">
        <f>'March 1, 2016'!A33*1.025</f>
        <v>1211.8513796235795</v>
      </c>
      <c r="B30" s="119" t="s">
        <v>27</v>
      </c>
      <c r="C30" s="104"/>
      <c r="D30" s="105"/>
      <c r="E30" s="104"/>
      <c r="F30" s="104"/>
    </row>
    <row r="31" spans="1:20">
      <c r="A31" s="104"/>
      <c r="B31" s="104"/>
      <c r="C31" s="104"/>
      <c r="D31" s="105"/>
      <c r="E31" s="104"/>
      <c r="F31" s="104"/>
    </row>
  </sheetData>
  <autoFilter ref="A8:T19" xr:uid="{00000000-0009-0000-0000-00000E000000}"/>
  <mergeCells count="1">
    <mergeCell ref="A1:L1"/>
  </mergeCells>
  <pageMargins left="0.25" right="0.25" top="1" bottom="0.5" header="0.5" footer="0.5"/>
  <pageSetup scale="96" orientation="landscape" r:id="rId1"/>
  <headerFooter alignWithMargins="0"/>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R31"/>
  <sheetViews>
    <sheetView showGridLines="0" zoomScaleNormal="100" workbookViewId="0">
      <selection activeCell="D23" sqref="D23"/>
    </sheetView>
  </sheetViews>
  <sheetFormatPr defaultColWidth="9.265625" defaultRowHeight="13.15"/>
  <cols>
    <col min="1" max="1" width="14.59765625" style="93" customWidth="1"/>
    <col min="2" max="2" width="8.265625" style="112" hidden="1" customWidth="1"/>
    <col min="3" max="3" width="15.73046875" style="93" customWidth="1"/>
    <col min="4" max="4" width="38" style="93" customWidth="1"/>
    <col min="5" max="5" width="5.265625" style="93" hidden="1" customWidth="1"/>
    <col min="6" max="6" width="6.265625" style="93" customWidth="1"/>
    <col min="7" max="7" width="4.73046875" style="93" bestFit="1" customWidth="1"/>
    <col min="8" max="8" width="11.73046875" style="93" customWidth="1"/>
    <col min="9" max="9" width="10.265625" style="93" customWidth="1"/>
    <col min="10" max="10" width="9.73046875" style="93" customWidth="1"/>
    <col min="11" max="12" width="10.59765625" style="93" customWidth="1"/>
    <col min="13" max="13" width="9.73046875" style="93" customWidth="1"/>
    <col min="14" max="15" width="9.265625" style="93" hidden="1" customWidth="1"/>
    <col min="16" max="16" width="9.265625" style="93"/>
    <col min="17" max="18" width="9.265625" style="125"/>
    <col min="19" max="16384" width="9.265625" style="93"/>
  </cols>
  <sheetData>
    <row r="1" spans="1:16" ht="21">
      <c r="A1" s="187" t="s">
        <v>0</v>
      </c>
      <c r="B1" s="187"/>
      <c r="C1" s="187"/>
      <c r="D1" s="187"/>
      <c r="E1" s="187"/>
      <c r="F1" s="187"/>
      <c r="G1" s="187"/>
      <c r="H1" s="187"/>
      <c r="I1" s="187"/>
      <c r="J1" s="187"/>
      <c r="K1" s="187"/>
      <c r="L1" s="187"/>
    </row>
    <row r="2" spans="1:16">
      <c r="A2" s="94"/>
      <c r="B2" s="95"/>
      <c r="C2" s="96"/>
      <c r="D2" s="95"/>
      <c r="E2" s="95"/>
      <c r="F2" s="129"/>
      <c r="G2" s="129"/>
      <c r="H2" s="188"/>
      <c r="I2" s="188"/>
      <c r="J2" s="129"/>
      <c r="K2" s="129"/>
      <c r="L2" s="129"/>
    </row>
    <row r="3" spans="1:16">
      <c r="A3" s="94" t="s">
        <v>1</v>
      </c>
      <c r="B3" s="129"/>
      <c r="C3" s="94"/>
      <c r="D3" s="129"/>
      <c r="E3" s="129"/>
      <c r="F3" s="129"/>
      <c r="G3" s="129"/>
      <c r="H3" s="129"/>
      <c r="I3" s="129"/>
      <c r="J3" s="129"/>
      <c r="K3" s="129"/>
      <c r="L3" s="129"/>
    </row>
    <row r="4" spans="1:16">
      <c r="A4" s="189" t="s">
        <v>128</v>
      </c>
      <c r="B4" s="189"/>
      <c r="C4" s="189"/>
      <c r="D4" s="98"/>
      <c r="E4" s="98"/>
      <c r="F4" s="98"/>
      <c r="G4" s="98"/>
      <c r="H4" s="98"/>
      <c r="I4" s="129"/>
      <c r="J4" s="129"/>
      <c r="K4" s="129"/>
      <c r="L4" s="129"/>
    </row>
    <row r="5" spans="1:16">
      <c r="A5" s="94" t="s">
        <v>119</v>
      </c>
      <c r="C5" s="94"/>
      <c r="D5" s="129"/>
      <c r="E5" s="129"/>
      <c r="F5" s="129"/>
      <c r="G5" s="129"/>
      <c r="H5" s="129"/>
      <c r="I5" s="129"/>
      <c r="J5" s="129"/>
      <c r="K5" s="129"/>
      <c r="L5" s="129"/>
    </row>
    <row r="6" spans="1:16">
      <c r="A6" s="94"/>
      <c r="B6" s="94"/>
      <c r="C6" s="94"/>
      <c r="D6" s="129"/>
      <c r="E6" s="129"/>
      <c r="F6" s="129"/>
      <c r="G6" s="129"/>
      <c r="H6" s="129"/>
      <c r="I6" s="129"/>
      <c r="J6" s="129"/>
      <c r="K6" s="129"/>
      <c r="L6" s="129"/>
    </row>
    <row r="7" spans="1:16">
      <c r="A7" s="94"/>
      <c r="B7" s="94"/>
      <c r="C7" s="94"/>
      <c r="D7" s="129"/>
      <c r="E7" s="129"/>
      <c r="F7" s="129"/>
      <c r="G7" s="129"/>
      <c r="H7" s="129"/>
      <c r="I7" s="129"/>
      <c r="J7" s="129"/>
      <c r="K7" s="129"/>
      <c r="L7" s="129"/>
      <c r="M7" s="120">
        <v>34.525197001003797</v>
      </c>
    </row>
    <row r="8" spans="1:16" ht="30.75" customHeight="1" thickBot="1">
      <c r="A8" s="126" t="s">
        <v>36</v>
      </c>
      <c r="B8" s="126" t="s">
        <v>37</v>
      </c>
      <c r="C8" s="126" t="s">
        <v>2</v>
      </c>
      <c r="D8" s="126" t="s">
        <v>38</v>
      </c>
      <c r="E8" s="126" t="s">
        <v>39</v>
      </c>
      <c r="F8" s="126" t="s">
        <v>40</v>
      </c>
      <c r="G8" s="127" t="s">
        <v>131</v>
      </c>
      <c r="H8" s="102" t="s">
        <v>41</v>
      </c>
      <c r="I8" s="102" t="s">
        <v>42</v>
      </c>
      <c r="J8" s="102" t="s">
        <v>43</v>
      </c>
      <c r="K8" s="102" t="s">
        <v>44</v>
      </c>
      <c r="L8" s="102" t="s">
        <v>45</v>
      </c>
      <c r="M8" s="102" t="s">
        <v>46</v>
      </c>
      <c r="N8" s="103"/>
    </row>
    <row r="9" spans="1:16" ht="13.5" thickTop="1">
      <c r="A9" s="104" t="s">
        <v>8</v>
      </c>
      <c r="B9" s="104">
        <v>13</v>
      </c>
      <c r="C9" s="104" t="s">
        <v>48</v>
      </c>
      <c r="D9" s="105" t="s">
        <v>99</v>
      </c>
      <c r="E9" s="104">
        <v>395</v>
      </c>
      <c r="F9" s="104">
        <v>8</v>
      </c>
      <c r="G9" s="93" t="s">
        <v>6</v>
      </c>
      <c r="H9" s="106">
        <f>'January 1 2017'!H9*1.025</f>
        <v>63965.315393742945</v>
      </c>
      <c r="I9" s="106">
        <f>'January 1 2017'!I9*1.025</f>
        <v>66520.238009492678</v>
      </c>
      <c r="J9" s="106">
        <f>'January 1 2017'!J9*1.025</f>
        <v>69177.357529872388</v>
      </c>
      <c r="K9" s="106">
        <f>'January 1 2017'!K9*1.025</f>
        <v>71940.761831067284</v>
      </c>
      <c r="L9" s="106">
        <f>'January 1 2017'!L9*1.025</f>
        <v>74814.702304309991</v>
      </c>
      <c r="M9" s="106">
        <f>'January 1 2017'!M9*1.025</f>
        <v>77803.600396482376</v>
      </c>
      <c r="N9" s="106"/>
    </row>
    <row r="10" spans="1:16">
      <c r="A10" s="104" t="s">
        <v>13</v>
      </c>
      <c r="B10" s="104">
        <v>1</v>
      </c>
      <c r="C10" s="104" t="s">
        <v>48</v>
      </c>
      <c r="D10" s="105" t="s">
        <v>100</v>
      </c>
      <c r="E10" s="104">
        <v>470</v>
      </c>
      <c r="F10" s="104">
        <v>10</v>
      </c>
      <c r="G10" s="93" t="s">
        <v>6</v>
      </c>
      <c r="H10" s="106">
        <f>'January 1 2017'!H10*1.025</f>
        <v>77872.151130478131</v>
      </c>
      <c r="I10" s="106">
        <f>'January 1 2017'!I10*1.025</f>
        <v>81765.209199338788</v>
      </c>
      <c r="J10" s="106">
        <f>'January 1 2017'!J10*1.025</f>
        <v>85857.85191550928</v>
      </c>
      <c r="K10" s="106">
        <f>'January 1 2017'!K10*1.025</f>
        <v>90147.610388702262</v>
      </c>
      <c r="L10" s="106">
        <f>'January 1 2017'!L10*1.025</f>
        <v>94635.719064061399</v>
      </c>
      <c r="M10" s="106">
        <f>'January 1 2017'!M10*1.025</f>
        <v>99305.123676976043</v>
      </c>
      <c r="N10" s="106"/>
      <c r="P10" s="107"/>
    </row>
    <row r="11" spans="1:16">
      <c r="A11" s="104" t="s">
        <v>9</v>
      </c>
      <c r="B11" s="104">
        <v>4</v>
      </c>
      <c r="C11" s="104" t="s">
        <v>48</v>
      </c>
      <c r="D11" s="105" t="s">
        <v>101</v>
      </c>
      <c r="E11" s="104">
        <v>578</v>
      </c>
      <c r="F11" s="104">
        <v>12</v>
      </c>
      <c r="G11" s="93" t="s">
        <v>6</v>
      </c>
      <c r="H11" s="106">
        <f>'January 1 2017'!H11*1.025</f>
        <v>93477.643560701166</v>
      </c>
      <c r="I11" s="106">
        <f>'January 1 2017'!I11*1.025</f>
        <v>98138.336018298418</v>
      </c>
      <c r="J11" s="106">
        <f>'January 1 2017'!J11*1.025</f>
        <v>103056.3438809698</v>
      </c>
      <c r="K11" s="106">
        <f>'January 1 2017'!K11*1.025</f>
        <v>108201.46808441891</v>
      </c>
      <c r="L11" s="106">
        <f>'January 1 2017'!L11*1.025</f>
        <v>113603.90890100138</v>
      </c>
      <c r="M11" s="106">
        <f>'January 1 2017'!M11*1.025</f>
        <v>119210.13288388465</v>
      </c>
      <c r="N11" s="106"/>
      <c r="P11" s="107"/>
    </row>
    <row r="12" spans="1:16">
      <c r="A12" s="104" t="s">
        <v>10</v>
      </c>
      <c r="B12" s="104">
        <v>1</v>
      </c>
      <c r="C12" s="104" t="s">
        <v>48</v>
      </c>
      <c r="D12" s="105" t="s">
        <v>102</v>
      </c>
      <c r="E12" s="104">
        <v>485</v>
      </c>
      <c r="F12" s="104">
        <v>10</v>
      </c>
      <c r="G12" s="93" t="s">
        <v>6</v>
      </c>
      <c r="H12" s="106">
        <f>'January 1 2017'!H12*1.025</f>
        <v>77872.151130478131</v>
      </c>
      <c r="I12" s="106">
        <f>'January 1 2017'!I12*1.025</f>
        <v>81765.209199338788</v>
      </c>
      <c r="J12" s="106">
        <f>'January 1 2017'!J12*1.025</f>
        <v>85857.85191550928</v>
      </c>
      <c r="K12" s="106">
        <f>'January 1 2017'!K12*1.025</f>
        <v>90147.610388702262</v>
      </c>
      <c r="L12" s="106">
        <f>'January 1 2017'!L12*1.025</f>
        <v>94635.719064061399</v>
      </c>
      <c r="M12" s="106">
        <f>'January 1 2017'!M12*1.025</f>
        <v>99305.123676976043</v>
      </c>
      <c r="N12" s="106"/>
      <c r="P12" s="107"/>
    </row>
    <row r="13" spans="1:16">
      <c r="A13" s="104" t="s">
        <v>78</v>
      </c>
      <c r="B13" s="104">
        <v>1</v>
      </c>
      <c r="C13" s="104" t="s">
        <v>48</v>
      </c>
      <c r="D13" s="105" t="s">
        <v>92</v>
      </c>
      <c r="E13" s="104">
        <v>470</v>
      </c>
      <c r="F13" s="104">
        <v>10</v>
      </c>
      <c r="G13" s="93" t="s">
        <v>6</v>
      </c>
      <c r="H13" s="106">
        <f>'January 1 2017'!H13*1.025</f>
        <v>77872.151130478131</v>
      </c>
      <c r="I13" s="106">
        <f>'January 1 2017'!I13*1.025</f>
        <v>81765.209199338788</v>
      </c>
      <c r="J13" s="106">
        <f>'January 1 2017'!J13*1.025</f>
        <v>85857.85191550928</v>
      </c>
      <c r="K13" s="106">
        <f>'January 1 2017'!K13*1.025</f>
        <v>90147.610388702262</v>
      </c>
      <c r="L13" s="106">
        <f>'January 1 2017'!L13*1.025</f>
        <v>94635.719064061399</v>
      </c>
      <c r="M13" s="106">
        <f>'January 1 2017'!M13*1.025</f>
        <v>99305.123676976043</v>
      </c>
      <c r="N13" s="106"/>
      <c r="P13" s="107"/>
    </row>
    <row r="14" spans="1:16">
      <c r="A14" s="104" t="s">
        <v>11</v>
      </c>
      <c r="B14" s="104">
        <v>2</v>
      </c>
      <c r="C14" s="104" t="s">
        <v>48</v>
      </c>
      <c r="D14" s="105" t="s">
        <v>103</v>
      </c>
      <c r="E14" s="104">
        <v>523</v>
      </c>
      <c r="F14" s="104">
        <v>11</v>
      </c>
      <c r="G14" s="93" t="s">
        <v>6</v>
      </c>
      <c r="H14" s="106">
        <f>'January 1 2017'!H14*1.025</f>
        <v>84999.482770625938</v>
      </c>
      <c r="I14" s="106">
        <f>'January 1 2017'!I14*1.025</f>
        <v>89240.978680067099</v>
      </c>
      <c r="J14" s="106">
        <f>'January 1 2017'!J14*1.025</f>
        <v>93704.757485360504</v>
      </c>
      <c r="K14" s="106">
        <f>'January 1 2017'!K14*1.025</f>
        <v>98364.241883741211</v>
      </c>
      <c r="L14" s="106">
        <f>'January 1 2017'!L14*1.025</f>
        <v>103283.46022174759</v>
      </c>
      <c r="M14" s="106">
        <f>'January 1 2017'!M14*1.025</f>
        <v>108379.96786835384</v>
      </c>
      <c r="N14" s="106"/>
      <c r="P14" s="107"/>
    </row>
    <row r="15" spans="1:16" ht="14.25" customHeight="1">
      <c r="A15" s="104" t="s">
        <v>16</v>
      </c>
      <c r="B15" s="104">
        <v>5</v>
      </c>
      <c r="C15" s="104" t="s">
        <v>48</v>
      </c>
      <c r="D15" s="105" t="s">
        <v>104</v>
      </c>
      <c r="E15" s="104">
        <v>625</v>
      </c>
      <c r="F15" s="104">
        <v>13</v>
      </c>
      <c r="G15" s="93" t="s">
        <v>6</v>
      </c>
      <c r="H15" s="106">
        <f>'January 1 2017'!H15*1.025</f>
        <v>98655.38536299819</v>
      </c>
      <c r="I15" s="106">
        <f>'January 1 2017'!I15*1.025</f>
        <v>103573.39322566953</v>
      </c>
      <c r="J15" s="106">
        <f>'January 1 2017'!J15*1.025</f>
        <v>108751.13502796655</v>
      </c>
      <c r="K15" s="106">
        <f>'January 1 2017'!K15*1.025</f>
        <v>114187.4027106727</v>
      </c>
      <c r="L15" s="106">
        <f>'January 1 2017'!L15*1.025</f>
        <v>119882.1938576695</v>
      </c>
      <c r="M15" s="106">
        <f>'January 1 2017'!M15*1.025</f>
        <v>125798.49587162223</v>
      </c>
      <c r="N15" s="106"/>
      <c r="P15" s="107"/>
    </row>
    <row r="16" spans="1:16">
      <c r="A16" s="104" t="s">
        <v>18</v>
      </c>
      <c r="B16" s="104">
        <v>5</v>
      </c>
      <c r="C16" s="104" t="s">
        <v>48</v>
      </c>
      <c r="D16" s="105" t="s">
        <v>105</v>
      </c>
      <c r="E16" s="104">
        <v>588</v>
      </c>
      <c r="F16" s="104">
        <v>13</v>
      </c>
      <c r="G16" s="93" t="s">
        <v>6</v>
      </c>
      <c r="H16" s="106">
        <f>'January 1 2017'!H16*1.025</f>
        <v>98655.38536299819</v>
      </c>
      <c r="I16" s="106">
        <f>'January 1 2017'!I16*1.025</f>
        <v>103573.39322566953</v>
      </c>
      <c r="J16" s="106">
        <f>'January 1 2017'!J16*1.025</f>
        <v>108751.13502796655</v>
      </c>
      <c r="K16" s="106">
        <f>'January 1 2017'!K16*1.025</f>
        <v>114187.4027106727</v>
      </c>
      <c r="L16" s="106">
        <f>'January 1 2017'!L16*1.025</f>
        <v>119882.1938576695</v>
      </c>
      <c r="M16" s="106">
        <f>'January 1 2017'!M16*1.025</f>
        <v>125798.49587162223</v>
      </c>
      <c r="N16" s="106"/>
      <c r="P16" s="107"/>
    </row>
    <row r="17" spans="1:16">
      <c r="A17" s="104" t="s">
        <v>20</v>
      </c>
      <c r="B17" s="104">
        <v>5</v>
      </c>
      <c r="C17" s="104" t="s">
        <v>48</v>
      </c>
      <c r="D17" s="105" t="s">
        <v>107</v>
      </c>
      <c r="E17" s="104">
        <v>605</v>
      </c>
      <c r="F17" s="104">
        <v>13</v>
      </c>
      <c r="G17" s="93" t="s">
        <v>6</v>
      </c>
      <c r="H17" s="106">
        <f>'January 1 2017'!H17*1.025</f>
        <v>98655.38536299819</v>
      </c>
      <c r="I17" s="106">
        <f>'January 1 2017'!I17*1.025</f>
        <v>103573.39322566953</v>
      </c>
      <c r="J17" s="106">
        <f>'January 1 2017'!J17*1.025</f>
        <v>108751.13502796655</v>
      </c>
      <c r="K17" s="106">
        <f>'January 1 2017'!K17*1.025</f>
        <v>114187.4027106727</v>
      </c>
      <c r="L17" s="106">
        <f>'January 1 2017'!L17*1.025</f>
        <v>119882.1938576695</v>
      </c>
      <c r="M17" s="106">
        <f>'January 1 2017'!M17*1.025</f>
        <v>125798.49587162223</v>
      </c>
      <c r="N17" s="106"/>
      <c r="P17" s="107"/>
    </row>
    <row r="18" spans="1:16">
      <c r="A18" s="104" t="s">
        <v>127</v>
      </c>
      <c r="B18" s="112">
        <v>5</v>
      </c>
      <c r="C18" s="104" t="s">
        <v>48</v>
      </c>
      <c r="D18" s="105" t="s">
        <v>125</v>
      </c>
      <c r="E18" s="104">
        <v>600</v>
      </c>
      <c r="F18" s="104">
        <v>13</v>
      </c>
      <c r="G18" s="93" t="s">
        <v>6</v>
      </c>
      <c r="H18" s="106">
        <f>'January 1 2017'!H18*1.025</f>
        <v>98655.38536299819</v>
      </c>
      <c r="I18" s="106">
        <f>'January 1 2017'!I18*1.025</f>
        <v>103573.39322566953</v>
      </c>
      <c r="J18" s="106">
        <f>'January 1 2017'!J18*1.025</f>
        <v>108751.13502796655</v>
      </c>
      <c r="K18" s="106">
        <f>'January 1 2017'!K18*1.025</f>
        <v>114187.4027106727</v>
      </c>
      <c r="L18" s="106">
        <f>'January 1 2017'!L18*1.025</f>
        <v>119882.1938576695</v>
      </c>
      <c r="M18" s="106">
        <f>'January 1 2017'!M18*1.025</f>
        <v>125798.49587162223</v>
      </c>
      <c r="N18" s="106"/>
    </row>
    <row r="19" spans="1:16">
      <c r="A19" s="93" t="s">
        <v>129</v>
      </c>
    </row>
    <row r="20" spans="1:16">
      <c r="B20" s="93"/>
    </row>
    <row r="21" spans="1:16">
      <c r="A21" s="115" t="s">
        <v>68</v>
      </c>
    </row>
    <row r="22" spans="1:16">
      <c r="A22" s="93" t="s">
        <v>33</v>
      </c>
    </row>
    <row r="23" spans="1:16">
      <c r="A23" s="93" t="s">
        <v>34</v>
      </c>
    </row>
    <row r="25" spans="1:16">
      <c r="A25" s="94" t="s">
        <v>70</v>
      </c>
      <c r="B25" s="129"/>
      <c r="C25" s="94"/>
      <c r="D25" s="129"/>
      <c r="E25" s="129"/>
      <c r="F25" s="129"/>
      <c r="G25" s="129"/>
    </row>
    <row r="26" spans="1:16">
      <c r="A26" s="118" t="s">
        <v>133</v>
      </c>
      <c r="B26" s="129"/>
      <c r="C26" s="94"/>
      <c r="D26" s="129"/>
      <c r="E26" s="129"/>
      <c r="F26" s="129"/>
      <c r="G26" s="129"/>
    </row>
    <row r="27" spans="1:16">
      <c r="A27" s="128">
        <f>'January 1 2017'!A27*1.025</f>
        <v>619.17452370216984</v>
      </c>
      <c r="C27" s="119" t="s">
        <v>24</v>
      </c>
      <c r="D27" s="129"/>
      <c r="E27" s="129"/>
      <c r="F27" s="129"/>
      <c r="G27" s="129"/>
      <c r="I27" s="116"/>
    </row>
    <row r="28" spans="1:16">
      <c r="A28" s="128">
        <f>'January 1 2017'!A28*1.025</f>
        <v>868.61702098095805</v>
      </c>
      <c r="C28" s="119" t="s">
        <v>25</v>
      </c>
      <c r="D28" s="129"/>
      <c r="E28" s="129"/>
      <c r="F28" s="129"/>
      <c r="G28" s="129"/>
      <c r="I28" s="125"/>
    </row>
    <row r="29" spans="1:16">
      <c r="A29" s="128">
        <f>'January 1 2017'!A29*1.025</f>
        <v>1053.4830341926488</v>
      </c>
      <c r="C29" s="119" t="s">
        <v>26</v>
      </c>
      <c r="D29" s="129"/>
      <c r="E29" s="129"/>
      <c r="F29" s="129"/>
      <c r="G29" s="129"/>
    </row>
    <row r="30" spans="1:16">
      <c r="A30" s="128">
        <f>'January 1 2017'!A30*1.025</f>
        <v>1242.1476641141689</v>
      </c>
      <c r="C30" s="119" t="s">
        <v>27</v>
      </c>
      <c r="D30" s="105"/>
      <c r="E30" s="104"/>
      <c r="F30" s="104"/>
    </row>
    <row r="31" spans="1:16">
      <c r="A31" s="104"/>
      <c r="B31" s="104"/>
      <c r="C31" s="104"/>
      <c r="D31" s="105"/>
      <c r="E31" s="104"/>
      <c r="F31" s="104"/>
    </row>
  </sheetData>
  <mergeCells count="3">
    <mergeCell ref="A1:L1"/>
    <mergeCell ref="H2:I2"/>
    <mergeCell ref="A4:C4"/>
  </mergeCells>
  <pageMargins left="0.25" right="0.25" top="1" bottom="0.5" header="0.5" footer="0.5"/>
  <pageSetup scale="96" orientation="landscape" r:id="rId1"/>
  <headerFooter alignWithMargins="0"/>
  <drawing r:id="rId2"/>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R31"/>
  <sheetViews>
    <sheetView showGridLines="0" topLeftCell="A4" zoomScaleNormal="100" workbookViewId="0">
      <selection activeCell="F10" sqref="F10"/>
    </sheetView>
  </sheetViews>
  <sheetFormatPr defaultColWidth="9.265625" defaultRowHeight="13.15"/>
  <cols>
    <col min="1" max="1" width="14.59765625" style="93" customWidth="1"/>
    <col min="2" max="2" width="8.265625" style="112" hidden="1" customWidth="1"/>
    <col min="3" max="3" width="15.73046875" style="93" customWidth="1"/>
    <col min="4" max="4" width="38" style="93" customWidth="1"/>
    <col min="5" max="5" width="5.265625" style="93" hidden="1" customWidth="1"/>
    <col min="6" max="6" width="6.265625" style="93" customWidth="1"/>
    <col min="7" max="7" width="4.73046875" style="93" bestFit="1" customWidth="1"/>
    <col min="8" max="8" width="11.73046875" style="93" customWidth="1"/>
    <col min="9" max="9" width="10.265625" style="93" customWidth="1"/>
    <col min="10" max="10" width="9.73046875" style="93" customWidth="1"/>
    <col min="11" max="12" width="10.59765625" style="93" customWidth="1"/>
    <col min="13" max="13" width="9.73046875" style="93" customWidth="1"/>
    <col min="14" max="15" width="9.265625" style="93" hidden="1" customWidth="1"/>
    <col min="16" max="16" width="9.265625" style="93"/>
    <col min="17" max="17" width="9.73046875" style="125" bestFit="1" customWidth="1"/>
    <col min="18" max="18" width="9.265625" style="125"/>
    <col min="19" max="16384" width="9.265625" style="93"/>
  </cols>
  <sheetData>
    <row r="1" spans="1:16" ht="21">
      <c r="A1" s="187" t="s">
        <v>0</v>
      </c>
      <c r="B1" s="187"/>
      <c r="C1" s="187"/>
      <c r="D1" s="187"/>
      <c r="E1" s="187"/>
      <c r="F1" s="187"/>
      <c r="G1" s="187"/>
      <c r="H1" s="187"/>
      <c r="I1" s="187"/>
      <c r="J1" s="187"/>
      <c r="K1" s="187"/>
      <c r="L1" s="187"/>
    </row>
    <row r="2" spans="1:16">
      <c r="A2" s="94"/>
      <c r="B2" s="95"/>
      <c r="C2" s="96"/>
      <c r="D2" s="95"/>
      <c r="E2" s="95"/>
      <c r="F2" s="97"/>
      <c r="G2" s="97"/>
      <c r="H2" s="188"/>
      <c r="I2" s="188"/>
      <c r="J2" s="97"/>
      <c r="K2" s="97"/>
      <c r="L2" s="97"/>
    </row>
    <row r="3" spans="1:16">
      <c r="A3" s="94" t="s">
        <v>1</v>
      </c>
      <c r="B3" s="97"/>
      <c r="C3" s="94"/>
      <c r="D3" s="97"/>
      <c r="E3" s="97"/>
      <c r="F3" s="97"/>
      <c r="G3" s="97"/>
      <c r="H3" s="97"/>
      <c r="I3" s="97"/>
      <c r="J3" s="97"/>
      <c r="K3" s="97"/>
      <c r="L3" s="97"/>
    </row>
    <row r="4" spans="1:16">
      <c r="A4" s="189" t="s">
        <v>157</v>
      </c>
      <c r="B4" s="189"/>
      <c r="C4" s="189"/>
      <c r="D4" s="98"/>
      <c r="E4" s="98"/>
      <c r="F4" s="98"/>
      <c r="G4" s="98"/>
      <c r="H4" s="98"/>
      <c r="I4" s="97"/>
      <c r="J4" s="97"/>
      <c r="K4" s="97"/>
      <c r="L4" s="97"/>
    </row>
    <row r="5" spans="1:16">
      <c r="A5" s="94" t="s">
        <v>119</v>
      </c>
      <c r="C5" s="94"/>
      <c r="D5" s="97"/>
      <c r="E5" s="97"/>
      <c r="F5" s="97"/>
      <c r="G5" s="97"/>
      <c r="H5" s="97"/>
      <c r="I5" s="97"/>
      <c r="J5" s="97"/>
      <c r="K5" s="97"/>
      <c r="L5" s="97"/>
    </row>
    <row r="6" spans="1:16">
      <c r="A6" s="94"/>
      <c r="B6" s="94"/>
      <c r="C6" s="94"/>
      <c r="D6" s="97"/>
      <c r="E6" s="97"/>
      <c r="F6" s="97"/>
      <c r="G6" s="97"/>
      <c r="H6" s="97"/>
      <c r="I6" s="97"/>
      <c r="J6" s="97"/>
      <c r="K6" s="97"/>
      <c r="L6" s="97"/>
    </row>
    <row r="7" spans="1:16">
      <c r="A7" s="94"/>
      <c r="B7" s="94"/>
      <c r="C7" s="94"/>
      <c r="D7" s="97"/>
      <c r="E7" s="97"/>
      <c r="F7" s="97"/>
      <c r="G7" s="97"/>
      <c r="H7" s="97"/>
      <c r="I7" s="97"/>
      <c r="J7" s="97"/>
      <c r="K7" s="97"/>
      <c r="L7" s="97"/>
      <c r="M7" s="120">
        <v>34.525197001003797</v>
      </c>
    </row>
    <row r="8" spans="1:16" ht="30.75" customHeight="1" thickBot="1">
      <c r="A8" s="126" t="s">
        <v>36</v>
      </c>
      <c r="B8" s="126" t="s">
        <v>37</v>
      </c>
      <c r="C8" s="126" t="s">
        <v>2</v>
      </c>
      <c r="D8" s="126" t="s">
        <v>38</v>
      </c>
      <c r="E8" s="126" t="s">
        <v>39</v>
      </c>
      <c r="F8" s="126" t="s">
        <v>40</v>
      </c>
      <c r="G8" s="127" t="s">
        <v>131</v>
      </c>
      <c r="H8" s="102" t="s">
        <v>41</v>
      </c>
      <c r="I8" s="102" t="s">
        <v>42</v>
      </c>
      <c r="J8" s="102" t="s">
        <v>43</v>
      </c>
      <c r="K8" s="102" t="s">
        <v>44</v>
      </c>
      <c r="L8" s="102" t="s">
        <v>45</v>
      </c>
      <c r="M8" s="102" t="s">
        <v>46</v>
      </c>
      <c r="N8" s="103"/>
    </row>
    <row r="9" spans="1:16" ht="13.5" thickTop="1">
      <c r="A9" s="104" t="s">
        <v>8</v>
      </c>
      <c r="B9" s="104">
        <v>13</v>
      </c>
      <c r="C9" s="104" t="s">
        <v>48</v>
      </c>
      <c r="D9" s="105" t="s">
        <v>99</v>
      </c>
      <c r="E9" s="104">
        <v>395</v>
      </c>
      <c r="F9" s="104">
        <v>8</v>
      </c>
      <c r="G9" s="93" t="s">
        <v>6</v>
      </c>
      <c r="H9" s="106">
        <f>VLOOKUP($A9,'March 1 2018'!$A$9:$M$18,8,0)</f>
        <v>63965.315393742945</v>
      </c>
      <c r="I9" s="106">
        <f>VLOOKUP($A9,'March 1 2018'!$A$9:$M$18,9,0)</f>
        <v>66520.238009492678</v>
      </c>
      <c r="J9" s="106">
        <f>VLOOKUP($A9,'March 1 2018'!$A$9:$M$18,10,0)</f>
        <v>69177.357529872388</v>
      </c>
      <c r="K9" s="106">
        <f>VLOOKUP($A9,'March 1 2018'!$A$9:$M$18,11,0)</f>
        <v>71940.761831067284</v>
      </c>
      <c r="L9" s="106">
        <f>VLOOKUP($A9,'March 1 2018'!$A$9:$M$18,12,0)</f>
        <v>74814.702304309991</v>
      </c>
      <c r="M9" s="106">
        <f>VLOOKUP($A9,'March 1 2018'!$A$9:$M$18,13,0)</f>
        <v>77803.600396482376</v>
      </c>
      <c r="N9" s="106"/>
    </row>
    <row r="10" spans="1:16">
      <c r="A10" s="104" t="s">
        <v>13</v>
      </c>
      <c r="B10" s="104">
        <v>1</v>
      </c>
      <c r="C10" s="104" t="s">
        <v>48</v>
      </c>
      <c r="D10" s="105" t="s">
        <v>100</v>
      </c>
      <c r="E10" s="104">
        <v>470</v>
      </c>
      <c r="F10" s="104">
        <v>10</v>
      </c>
      <c r="G10" s="93" t="s">
        <v>6</v>
      </c>
      <c r="H10" s="106">
        <f>VLOOKUP($A10,'March 1 2018'!$A$9:$M$18,8,0)</f>
        <v>77872.151130478131</v>
      </c>
      <c r="I10" s="106">
        <f>VLOOKUP($A10,'March 1 2018'!$A$9:$M$18,9,0)</f>
        <v>81765.209199338788</v>
      </c>
      <c r="J10" s="106">
        <f>VLOOKUP($A10,'March 1 2018'!$A$9:$M$18,10,0)</f>
        <v>85857.85191550928</v>
      </c>
      <c r="K10" s="106">
        <f>VLOOKUP($A10,'March 1 2018'!$A$9:$M$18,11,0)</f>
        <v>90147.610388702262</v>
      </c>
      <c r="L10" s="106">
        <f>VLOOKUP($A10,'March 1 2018'!$A$9:$M$18,12,0)</f>
        <v>94635.719064061399</v>
      </c>
      <c r="M10" s="106">
        <f>VLOOKUP($A10,'March 1 2018'!$A$9:$M$18,13,0)</f>
        <v>99305.123676976043</v>
      </c>
      <c r="N10" s="106"/>
      <c r="P10" s="107"/>
    </row>
    <row r="11" spans="1:16">
      <c r="A11" s="104" t="s">
        <v>9</v>
      </c>
      <c r="B11" s="104">
        <v>4</v>
      </c>
      <c r="C11" s="104" t="s">
        <v>48</v>
      </c>
      <c r="D11" s="105" t="s">
        <v>101</v>
      </c>
      <c r="E11" s="104">
        <v>578</v>
      </c>
      <c r="F11" s="104">
        <v>12</v>
      </c>
      <c r="G11" s="93" t="s">
        <v>6</v>
      </c>
      <c r="H11" s="106">
        <f>VLOOKUP($A11,'March 1 2018'!$A$9:$M$18,8,0)</f>
        <v>93477.643560701166</v>
      </c>
      <c r="I11" s="106">
        <f>VLOOKUP($A11,'March 1 2018'!$A$9:$M$18,9,0)</f>
        <v>98138.336018298418</v>
      </c>
      <c r="J11" s="106">
        <f>VLOOKUP($A11,'March 1 2018'!$A$9:$M$18,10,0)</f>
        <v>103056.3438809698</v>
      </c>
      <c r="K11" s="106">
        <f>VLOOKUP($A11,'March 1 2018'!$A$9:$M$18,11,0)</f>
        <v>108201.46808441891</v>
      </c>
      <c r="L11" s="106">
        <f>VLOOKUP($A11,'March 1 2018'!$A$9:$M$18,12,0)</f>
        <v>113603.90890100138</v>
      </c>
      <c r="M11" s="106">
        <f>VLOOKUP($A11,'March 1 2018'!$A$9:$M$18,13,0)</f>
        <v>119210.13288388465</v>
      </c>
      <c r="N11" s="106"/>
      <c r="P11" s="107"/>
    </row>
    <row r="12" spans="1:16">
      <c r="A12" s="104" t="s">
        <v>10</v>
      </c>
      <c r="B12" s="104">
        <v>1</v>
      </c>
      <c r="C12" s="104" t="s">
        <v>48</v>
      </c>
      <c r="D12" s="105" t="s">
        <v>102</v>
      </c>
      <c r="E12" s="104">
        <v>485</v>
      </c>
      <c r="F12" s="104">
        <v>10</v>
      </c>
      <c r="G12" s="93" t="s">
        <v>6</v>
      </c>
      <c r="H12" s="106">
        <f>VLOOKUP($A12,'March 1 2018'!$A$9:$M$18,8,0)</f>
        <v>77872.151130478131</v>
      </c>
      <c r="I12" s="106">
        <f>VLOOKUP($A12,'March 1 2018'!$A$9:$M$18,9,0)</f>
        <v>81765.209199338788</v>
      </c>
      <c r="J12" s="106">
        <f>VLOOKUP($A12,'March 1 2018'!$A$9:$M$18,10,0)</f>
        <v>85857.85191550928</v>
      </c>
      <c r="K12" s="106">
        <f>VLOOKUP($A12,'March 1 2018'!$A$9:$M$18,11,0)</f>
        <v>90147.610388702262</v>
      </c>
      <c r="L12" s="106">
        <f>VLOOKUP($A12,'March 1 2018'!$A$9:$M$18,12,0)</f>
        <v>94635.719064061399</v>
      </c>
      <c r="M12" s="106">
        <f>VLOOKUP($A12,'March 1 2018'!$A$9:$M$18,13,0)</f>
        <v>99305.123676976043</v>
      </c>
      <c r="N12" s="106"/>
      <c r="P12" s="107"/>
    </row>
    <row r="13" spans="1:16">
      <c r="A13" s="104" t="s">
        <v>78</v>
      </c>
      <c r="B13" s="104">
        <v>1</v>
      </c>
      <c r="C13" s="104" t="s">
        <v>48</v>
      </c>
      <c r="D13" s="105" t="s">
        <v>92</v>
      </c>
      <c r="E13" s="104">
        <v>470</v>
      </c>
      <c r="F13" s="104">
        <v>10</v>
      </c>
      <c r="G13" s="93" t="s">
        <v>6</v>
      </c>
      <c r="H13" s="106">
        <f>VLOOKUP($A13,'March 1 2018'!$A$9:$M$18,8,0)</f>
        <v>77872.151130478131</v>
      </c>
      <c r="I13" s="106">
        <f>VLOOKUP($A13,'March 1 2018'!$A$9:$M$18,9,0)</f>
        <v>81765.209199338788</v>
      </c>
      <c r="J13" s="106">
        <f>VLOOKUP($A13,'March 1 2018'!$A$9:$M$18,10,0)</f>
        <v>85857.85191550928</v>
      </c>
      <c r="K13" s="106">
        <f>VLOOKUP($A13,'March 1 2018'!$A$9:$M$18,11,0)</f>
        <v>90147.610388702262</v>
      </c>
      <c r="L13" s="106">
        <f>VLOOKUP($A13,'March 1 2018'!$A$9:$M$18,12,0)</f>
        <v>94635.719064061399</v>
      </c>
      <c r="M13" s="106">
        <f>VLOOKUP($A13,'March 1 2018'!$A$9:$M$18,13,0)</f>
        <v>99305.123676976043</v>
      </c>
      <c r="N13" s="106"/>
      <c r="P13" s="107"/>
    </row>
    <row r="14" spans="1:16">
      <c r="A14" s="104" t="s">
        <v>11</v>
      </c>
      <c r="B14" s="104">
        <v>2</v>
      </c>
      <c r="C14" s="104" t="s">
        <v>48</v>
      </c>
      <c r="D14" s="105" t="s">
        <v>103</v>
      </c>
      <c r="E14" s="104">
        <v>523</v>
      </c>
      <c r="F14" s="104">
        <v>11</v>
      </c>
      <c r="G14" s="93" t="s">
        <v>6</v>
      </c>
      <c r="H14" s="106">
        <f>VLOOKUP($A14,'March 1 2018'!$A$9:$M$18,8,0)</f>
        <v>84999.482770625938</v>
      </c>
      <c r="I14" s="106">
        <f>VLOOKUP($A14,'March 1 2018'!$A$9:$M$18,9,0)</f>
        <v>89240.978680067099</v>
      </c>
      <c r="J14" s="106">
        <f>VLOOKUP($A14,'March 1 2018'!$A$9:$M$18,10,0)</f>
        <v>93704.757485360504</v>
      </c>
      <c r="K14" s="106">
        <f>VLOOKUP($A14,'March 1 2018'!$A$9:$M$18,11,0)</f>
        <v>98364.241883741211</v>
      </c>
      <c r="L14" s="106">
        <f>VLOOKUP($A14,'March 1 2018'!$A$9:$M$18,12,0)</f>
        <v>103283.46022174759</v>
      </c>
      <c r="M14" s="106">
        <f>VLOOKUP($A14,'March 1 2018'!$A$9:$M$18,13,0)</f>
        <v>108379.96786835384</v>
      </c>
      <c r="N14" s="106"/>
      <c r="P14" s="107"/>
    </row>
    <row r="15" spans="1:16" ht="14.25" customHeight="1">
      <c r="A15" s="104" t="s">
        <v>16</v>
      </c>
      <c r="B15" s="104">
        <v>5</v>
      </c>
      <c r="C15" s="104" t="s">
        <v>48</v>
      </c>
      <c r="D15" s="105" t="s">
        <v>104</v>
      </c>
      <c r="E15" s="104">
        <v>625</v>
      </c>
      <c r="F15" s="104">
        <v>13</v>
      </c>
      <c r="G15" s="93" t="s">
        <v>6</v>
      </c>
      <c r="H15" s="106">
        <f>VLOOKUP($A15,'March 1 2018'!$A$9:$M$18,8,0)</f>
        <v>98655.38536299819</v>
      </c>
      <c r="I15" s="106">
        <f>VLOOKUP($A15,'March 1 2018'!$A$9:$M$18,9,0)</f>
        <v>103573.39322566953</v>
      </c>
      <c r="J15" s="106">
        <f>VLOOKUP($A15,'March 1 2018'!$A$9:$M$18,10,0)</f>
        <v>108751.13502796655</v>
      </c>
      <c r="K15" s="106">
        <f>VLOOKUP($A15,'March 1 2018'!$A$9:$M$18,11,0)</f>
        <v>114187.4027106727</v>
      </c>
      <c r="L15" s="106">
        <f>VLOOKUP($A15,'March 1 2018'!$A$9:$M$18,12,0)</f>
        <v>119882.1938576695</v>
      </c>
      <c r="M15" s="106">
        <f>VLOOKUP($A15,'March 1 2018'!$A$9:$M$18,13,0)</f>
        <v>125798.49587162223</v>
      </c>
      <c r="N15" s="106"/>
      <c r="P15" s="107"/>
    </row>
    <row r="16" spans="1:16">
      <c r="A16" s="104" t="s">
        <v>18</v>
      </c>
      <c r="B16" s="104">
        <v>5</v>
      </c>
      <c r="C16" s="104" t="s">
        <v>48</v>
      </c>
      <c r="D16" s="105" t="s">
        <v>105</v>
      </c>
      <c r="E16" s="104">
        <v>588</v>
      </c>
      <c r="F16" s="104">
        <v>13</v>
      </c>
      <c r="G16" s="93" t="s">
        <v>6</v>
      </c>
      <c r="H16" s="106">
        <f>VLOOKUP($A16,'March 1 2018'!$A$9:$M$18,8,0)</f>
        <v>98655.38536299819</v>
      </c>
      <c r="I16" s="106">
        <f>VLOOKUP($A16,'March 1 2018'!$A$9:$M$18,9,0)</f>
        <v>103573.39322566953</v>
      </c>
      <c r="J16" s="106">
        <f>VLOOKUP($A16,'March 1 2018'!$A$9:$M$18,10,0)</f>
        <v>108751.13502796655</v>
      </c>
      <c r="K16" s="106">
        <f>VLOOKUP($A16,'March 1 2018'!$A$9:$M$18,11,0)</f>
        <v>114187.4027106727</v>
      </c>
      <c r="L16" s="106">
        <f>VLOOKUP($A16,'March 1 2018'!$A$9:$M$18,12,0)</f>
        <v>119882.1938576695</v>
      </c>
      <c r="M16" s="106">
        <f>VLOOKUP($A16,'March 1 2018'!$A$9:$M$18,13,0)</f>
        <v>125798.49587162223</v>
      </c>
      <c r="N16" s="106"/>
      <c r="P16" s="107"/>
    </row>
    <row r="17" spans="1:16">
      <c r="A17" s="104" t="s">
        <v>20</v>
      </c>
      <c r="B17" s="104">
        <v>5</v>
      </c>
      <c r="C17" s="104" t="s">
        <v>48</v>
      </c>
      <c r="D17" s="105" t="s">
        <v>107</v>
      </c>
      <c r="E17" s="104">
        <v>605</v>
      </c>
      <c r="F17" s="104">
        <v>13</v>
      </c>
      <c r="G17" s="93" t="s">
        <v>6</v>
      </c>
      <c r="H17" s="106">
        <f>VLOOKUP($A17,'March 1 2018'!$A$9:$M$18,8,0)</f>
        <v>98655.38536299819</v>
      </c>
      <c r="I17" s="106">
        <f>VLOOKUP($A17,'March 1 2018'!$A$9:$M$18,9,0)</f>
        <v>103573.39322566953</v>
      </c>
      <c r="J17" s="106">
        <f>VLOOKUP($A17,'March 1 2018'!$A$9:$M$18,10,0)</f>
        <v>108751.13502796655</v>
      </c>
      <c r="K17" s="106">
        <f>VLOOKUP($A17,'March 1 2018'!$A$9:$M$18,11,0)</f>
        <v>114187.4027106727</v>
      </c>
      <c r="L17" s="106">
        <f>VLOOKUP($A17,'March 1 2018'!$A$9:$M$18,12,0)</f>
        <v>119882.1938576695</v>
      </c>
      <c r="M17" s="106">
        <f>VLOOKUP($A17,'March 1 2018'!$A$9:$M$18,13,0)</f>
        <v>125798.49587162223</v>
      </c>
      <c r="N17" s="106"/>
      <c r="P17" s="107"/>
    </row>
    <row r="18" spans="1:16">
      <c r="A18" s="104" t="s">
        <v>127</v>
      </c>
      <c r="B18" s="112">
        <v>5</v>
      </c>
      <c r="C18" s="104" t="s">
        <v>48</v>
      </c>
      <c r="D18" s="105" t="s">
        <v>125</v>
      </c>
      <c r="E18" s="104">
        <v>600</v>
      </c>
      <c r="F18" s="104">
        <v>13</v>
      </c>
      <c r="G18" s="93" t="s">
        <v>6</v>
      </c>
      <c r="H18" s="106">
        <f>VLOOKUP($A18,'March 1 2018'!$A$9:$M$18,8,0)</f>
        <v>98655.38536299819</v>
      </c>
      <c r="I18" s="106">
        <f>VLOOKUP($A18,'March 1 2018'!$A$9:$M$18,9,0)</f>
        <v>103573.39322566953</v>
      </c>
      <c r="J18" s="106">
        <f>VLOOKUP($A18,'March 1 2018'!$A$9:$M$18,10,0)</f>
        <v>108751.13502796655</v>
      </c>
      <c r="K18" s="106">
        <f>VLOOKUP($A18,'March 1 2018'!$A$9:$M$18,11,0)</f>
        <v>114187.4027106727</v>
      </c>
      <c r="L18" s="106">
        <f>VLOOKUP($A18,'March 1 2018'!$A$9:$M$18,12,0)</f>
        <v>119882.1938576695</v>
      </c>
      <c r="M18" s="106">
        <f>VLOOKUP($A18,'March 1 2018'!$A$9:$M$18,13,0)</f>
        <v>125798.49587162223</v>
      </c>
      <c r="N18" s="106"/>
    </row>
    <row r="19" spans="1:16">
      <c r="A19" s="93" t="s">
        <v>129</v>
      </c>
    </row>
    <row r="20" spans="1:16">
      <c r="B20" s="93"/>
    </row>
    <row r="21" spans="1:16">
      <c r="A21" s="115" t="s">
        <v>68</v>
      </c>
    </row>
    <row r="22" spans="1:16">
      <c r="A22" s="93" t="s">
        <v>33</v>
      </c>
    </row>
    <row r="23" spans="1:16">
      <c r="A23" s="93" t="s">
        <v>34</v>
      </c>
    </row>
    <row r="25" spans="1:16">
      <c r="A25" s="94" t="s">
        <v>70</v>
      </c>
      <c r="B25" s="97"/>
      <c r="C25" s="94"/>
      <c r="D25" s="97"/>
      <c r="E25" s="97"/>
      <c r="F25" s="97"/>
      <c r="G25" s="97"/>
    </row>
    <row r="26" spans="1:16">
      <c r="A26" s="118" t="s">
        <v>133</v>
      </c>
      <c r="B26" s="97"/>
      <c r="C26" s="94"/>
      <c r="D26" s="97"/>
      <c r="E26" s="97"/>
      <c r="F26" s="97"/>
      <c r="G26" s="97"/>
    </row>
    <row r="27" spans="1:16">
      <c r="A27" s="128">
        <f>'March 1 2018'!A27+125</f>
        <v>744.17452370216984</v>
      </c>
      <c r="C27" s="119" t="s">
        <v>24</v>
      </c>
      <c r="D27" s="97"/>
      <c r="E27" s="97"/>
      <c r="F27" s="97"/>
      <c r="G27" s="97"/>
      <c r="I27" s="116"/>
    </row>
    <row r="28" spans="1:16">
      <c r="A28" s="128">
        <f>'March 1 2018'!A28+150</f>
        <v>1018.617020980958</v>
      </c>
      <c r="C28" s="119" t="s">
        <v>25</v>
      </c>
      <c r="D28" s="97"/>
      <c r="E28" s="97"/>
      <c r="F28" s="97"/>
      <c r="G28" s="97"/>
      <c r="I28" s="125"/>
    </row>
    <row r="29" spans="1:16">
      <c r="A29" s="128">
        <f>'March 1 2018'!A29+150</f>
        <v>1203.4830341926488</v>
      </c>
      <c r="C29" s="119" t="s">
        <v>26</v>
      </c>
      <c r="D29" s="97"/>
      <c r="E29" s="97"/>
      <c r="F29" s="97"/>
      <c r="G29" s="97"/>
    </row>
    <row r="30" spans="1:16">
      <c r="A30" s="128">
        <f>'March 1 2018'!A30+175</f>
        <v>1417.1476641141689</v>
      </c>
      <c r="C30" s="119" t="s">
        <v>27</v>
      </c>
      <c r="D30" s="105"/>
      <c r="E30" s="104"/>
      <c r="F30" s="104"/>
    </row>
    <row r="31" spans="1:16">
      <c r="A31" s="104"/>
      <c r="B31" s="104"/>
      <c r="C31" s="104"/>
      <c r="D31" s="105"/>
      <c r="E31" s="104"/>
      <c r="F31" s="104"/>
    </row>
  </sheetData>
  <mergeCells count="3">
    <mergeCell ref="A1:L1"/>
    <mergeCell ref="A4:C4"/>
    <mergeCell ref="H2:I2"/>
  </mergeCells>
  <pageMargins left="0.25" right="0.25" top="1" bottom="0.5" header="0.5" footer="0.5"/>
  <pageSetup scale="96"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O31"/>
  <sheetViews>
    <sheetView showGridLines="0" topLeftCell="A11" zoomScaleNormal="100" workbookViewId="0">
      <selection activeCell="D25" sqref="D25"/>
    </sheetView>
  </sheetViews>
  <sheetFormatPr defaultColWidth="9.265625" defaultRowHeight="13.15"/>
  <cols>
    <col min="1" max="1" width="14.59765625" style="93" customWidth="1"/>
    <col min="2" max="2" width="8.265625" style="112" hidden="1" customWidth="1"/>
    <col min="3" max="3" width="15.73046875" style="93" customWidth="1"/>
    <col min="4" max="4" width="38" style="93" customWidth="1"/>
    <col min="5" max="5" width="5.265625" style="93" hidden="1" customWidth="1"/>
    <col min="6" max="6" width="6.265625" style="93" customWidth="1"/>
    <col min="7" max="7" width="4.73046875" style="93" bestFit="1" customWidth="1"/>
    <col min="8" max="8" width="11.73046875" style="93" customWidth="1"/>
    <col min="9" max="9" width="10.265625" style="93" customWidth="1"/>
    <col min="10" max="10" width="9.73046875" style="93" customWidth="1"/>
    <col min="11" max="12" width="10.59765625" style="93" customWidth="1"/>
    <col min="13" max="13" width="10" style="93" bestFit="1" customWidth="1"/>
    <col min="14" max="14" width="9.265625" style="93" customWidth="1"/>
    <col min="15" max="15" width="9.265625" style="144" customWidth="1"/>
    <col min="16" max="16384" width="9.265625" style="93"/>
  </cols>
  <sheetData>
    <row r="1" spans="1:14" ht="21">
      <c r="A1" s="187" t="s">
        <v>0</v>
      </c>
      <c r="B1" s="187"/>
      <c r="C1" s="187"/>
      <c r="D1" s="187"/>
      <c r="E1" s="187"/>
      <c r="F1" s="187"/>
      <c r="G1" s="187"/>
      <c r="H1" s="187"/>
      <c r="I1" s="187"/>
      <c r="J1" s="187"/>
      <c r="K1" s="187"/>
      <c r="L1" s="187"/>
    </row>
    <row r="2" spans="1:14">
      <c r="A2" s="94"/>
      <c r="B2" s="95"/>
      <c r="C2" s="96"/>
      <c r="D2" s="95"/>
      <c r="E2" s="95"/>
      <c r="F2" s="124"/>
      <c r="G2" s="124"/>
      <c r="H2" s="188"/>
      <c r="I2" s="188"/>
      <c r="J2" s="124"/>
      <c r="K2" s="124"/>
      <c r="L2" s="124"/>
    </row>
    <row r="3" spans="1:14">
      <c r="A3" s="94" t="s">
        <v>1</v>
      </c>
      <c r="B3" s="124"/>
      <c r="C3" s="94"/>
      <c r="D3" s="124"/>
      <c r="E3" s="124"/>
      <c r="F3" s="124"/>
      <c r="G3" s="124"/>
      <c r="H3" s="124"/>
      <c r="I3" s="124"/>
      <c r="J3" s="124"/>
      <c r="K3" s="124"/>
      <c r="L3" s="124"/>
    </row>
    <row r="4" spans="1:14">
      <c r="A4" s="189" t="s">
        <v>132</v>
      </c>
      <c r="B4" s="189"/>
      <c r="C4" s="189"/>
      <c r="D4" s="98"/>
      <c r="E4" s="98"/>
      <c r="F4" s="98"/>
      <c r="G4" s="98"/>
      <c r="H4" s="98"/>
      <c r="I4" s="124"/>
      <c r="J4" s="124"/>
      <c r="K4" s="124"/>
      <c r="L4" s="124"/>
    </row>
    <row r="5" spans="1:14">
      <c r="A5" s="94" t="s">
        <v>119</v>
      </c>
      <c r="C5" s="94"/>
      <c r="D5" s="124"/>
      <c r="E5" s="124"/>
      <c r="F5" s="124"/>
      <c r="G5" s="124"/>
      <c r="H5" s="124"/>
      <c r="I5" s="124"/>
      <c r="J5" s="124"/>
      <c r="K5" s="124"/>
      <c r="L5" s="124"/>
    </row>
    <row r="6" spans="1:14">
      <c r="A6" s="94"/>
      <c r="B6" s="94"/>
      <c r="C6" s="94"/>
      <c r="D6" s="124"/>
      <c r="E6" s="124"/>
      <c r="F6" s="124"/>
      <c r="G6" s="124"/>
      <c r="H6" s="124"/>
      <c r="I6" s="124"/>
      <c r="J6" s="124"/>
      <c r="K6" s="124"/>
      <c r="L6" s="124"/>
    </row>
    <row r="7" spans="1:14">
      <c r="A7" s="94"/>
      <c r="B7" s="94"/>
      <c r="C7" s="94"/>
      <c r="D7" s="124"/>
      <c r="E7" s="124"/>
      <c r="F7" s="124"/>
      <c r="G7" s="124"/>
      <c r="H7" s="124"/>
      <c r="I7" s="124"/>
      <c r="J7" s="124"/>
      <c r="K7" s="124"/>
      <c r="L7" s="124"/>
      <c r="M7" s="120">
        <v>34.525197001003797</v>
      </c>
    </row>
    <row r="8" spans="1:14" ht="30.75" customHeight="1" thickBot="1">
      <c r="A8" s="126" t="s">
        <v>36</v>
      </c>
      <c r="B8" s="126" t="s">
        <v>37</v>
      </c>
      <c r="C8" s="126" t="s">
        <v>2</v>
      </c>
      <c r="D8" s="126" t="s">
        <v>38</v>
      </c>
      <c r="E8" s="126" t="s">
        <v>39</v>
      </c>
      <c r="F8" s="126" t="s">
        <v>40</v>
      </c>
      <c r="G8" s="127" t="s">
        <v>131</v>
      </c>
      <c r="H8" s="102" t="s">
        <v>41</v>
      </c>
      <c r="I8" s="102" t="s">
        <v>42</v>
      </c>
      <c r="J8" s="102" t="s">
        <v>43</v>
      </c>
      <c r="K8" s="102" t="s">
        <v>44</v>
      </c>
      <c r="L8" s="102" t="s">
        <v>45</v>
      </c>
      <c r="M8" s="102" t="s">
        <v>46</v>
      </c>
      <c r="N8" s="103"/>
    </row>
    <row r="9" spans="1:14" ht="13.5" thickTop="1">
      <c r="A9" s="104" t="s">
        <v>8</v>
      </c>
      <c r="B9" s="104">
        <v>13</v>
      </c>
      <c r="C9" s="104" t="s">
        <v>48</v>
      </c>
      <c r="D9" s="105" t="s">
        <v>99</v>
      </c>
      <c r="E9" s="104">
        <v>395</v>
      </c>
      <c r="F9" s="104">
        <v>8</v>
      </c>
      <c r="G9" s="93" t="s">
        <v>6</v>
      </c>
      <c r="H9" s="106">
        <f>VLOOKUP($A9,'January 1 2019'!$A$9:$M$18,8,0)*1.025</f>
        <v>65564.448278586511</v>
      </c>
      <c r="I9" s="106">
        <f>VLOOKUP($A9,'January 1 2019'!$A$9:$M$18,9,0)*1.025</f>
        <v>68183.243959729982</v>
      </c>
      <c r="J9" s="106">
        <f>VLOOKUP($A9,'January 1 2019'!$A$9:$M$18,10,0)*1.025</f>
        <v>70906.791468119191</v>
      </c>
      <c r="K9" s="106">
        <f>VLOOKUP($A9,'January 1 2019'!$A$9:$M$18,11,0)*1.025</f>
        <v>73739.280876843957</v>
      </c>
      <c r="L9" s="106">
        <f>VLOOKUP($A9,'January 1 2019'!$A$9:$M$18,12,0)*1.025</f>
        <v>76685.069861917727</v>
      </c>
      <c r="M9" s="106">
        <f>VLOOKUP($A9,'January 1 2019'!$A$9:$M$18,13,0)*1.025</f>
        <v>79748.690406394424</v>
      </c>
      <c r="N9" s="106"/>
    </row>
    <row r="10" spans="1:14">
      <c r="A10" s="104" t="s">
        <v>13</v>
      </c>
      <c r="B10" s="104">
        <v>1</v>
      </c>
      <c r="C10" s="104" t="s">
        <v>48</v>
      </c>
      <c r="D10" s="105" t="s">
        <v>100</v>
      </c>
      <c r="E10" s="104">
        <v>470</v>
      </c>
      <c r="F10" s="104">
        <v>10</v>
      </c>
      <c r="G10" s="93" t="s">
        <v>6</v>
      </c>
      <c r="H10" s="106">
        <f>VLOOKUP($A10,'January 1 2019'!$A$9:$M$18,8,0)*1.025</f>
        <v>79818.954908740081</v>
      </c>
      <c r="I10" s="106">
        <f>VLOOKUP($A10,'January 1 2019'!$A$9:$M$18,9,0)*1.025</f>
        <v>83809.339429322252</v>
      </c>
      <c r="J10" s="106">
        <f>VLOOKUP($A10,'January 1 2019'!$A$9:$M$18,10,0)*1.025</f>
        <v>88004.298213397007</v>
      </c>
      <c r="K10" s="106">
        <f>VLOOKUP($A10,'January 1 2019'!$A$9:$M$18,11,0)*1.025</f>
        <v>92401.300648419812</v>
      </c>
      <c r="L10" s="106">
        <f>VLOOKUP($A10,'January 1 2019'!$A$9:$M$18,12,0)*1.025</f>
        <v>97001.61204066292</v>
      </c>
      <c r="M10" s="106">
        <f>VLOOKUP($A10,'January 1 2019'!$A$9:$M$18,13,0)*1.025</f>
        <v>101787.75176890043</v>
      </c>
      <c r="N10" s="106"/>
    </row>
    <row r="11" spans="1:14">
      <c r="A11" s="104" t="s">
        <v>9</v>
      </c>
      <c r="B11" s="104">
        <v>4</v>
      </c>
      <c r="C11" s="104" t="s">
        <v>48</v>
      </c>
      <c r="D11" s="105" t="s">
        <v>101</v>
      </c>
      <c r="E11" s="104">
        <v>578</v>
      </c>
      <c r="F11" s="104">
        <v>12</v>
      </c>
      <c r="G11" s="93" t="s">
        <v>6</v>
      </c>
      <c r="H11" s="106">
        <f>VLOOKUP($A11,'January 1 2019'!$A$9:$M$18,8,0)*1.025</f>
        <v>95814.584649718687</v>
      </c>
      <c r="I11" s="106">
        <f>VLOOKUP($A11,'January 1 2019'!$A$9:$M$18,9,0)*1.025</f>
        <v>100591.79441875588</v>
      </c>
      <c r="J11" s="106">
        <f>VLOOKUP($A11,'January 1 2019'!$A$9:$M$18,10,0)*1.025</f>
        <v>105632.75247799403</v>
      </c>
      <c r="K11" s="106">
        <f>VLOOKUP($A11,'January 1 2019'!$A$9:$M$18,11,0)*1.025</f>
        <v>110906.50478652937</v>
      </c>
      <c r="L11" s="106">
        <f>VLOOKUP($A11,'January 1 2019'!$A$9:$M$18,12,0)*1.025</f>
        <v>116444.00662352641</v>
      </c>
      <c r="M11" s="106">
        <f>VLOOKUP($A11,'January 1 2019'!$A$9:$M$18,13,0)*1.025</f>
        <v>122190.38620598176</v>
      </c>
      <c r="N11" s="106"/>
    </row>
    <row r="12" spans="1:14">
      <c r="A12" s="104" t="s">
        <v>10</v>
      </c>
      <c r="B12" s="104">
        <v>1</v>
      </c>
      <c r="C12" s="104" t="s">
        <v>48</v>
      </c>
      <c r="D12" s="105" t="s">
        <v>102</v>
      </c>
      <c r="E12" s="104">
        <v>485</v>
      </c>
      <c r="F12" s="104">
        <v>10</v>
      </c>
      <c r="G12" s="93" t="s">
        <v>6</v>
      </c>
      <c r="H12" s="106">
        <f>VLOOKUP($A12,'January 1 2019'!$A$9:$M$18,8,0)*1.025</f>
        <v>79818.954908740081</v>
      </c>
      <c r="I12" s="106">
        <f>VLOOKUP($A12,'January 1 2019'!$A$9:$M$18,9,0)*1.025</f>
        <v>83809.339429322252</v>
      </c>
      <c r="J12" s="106">
        <f>VLOOKUP($A12,'January 1 2019'!$A$9:$M$18,10,0)*1.025</f>
        <v>88004.298213397007</v>
      </c>
      <c r="K12" s="106">
        <f>VLOOKUP($A12,'January 1 2019'!$A$9:$M$18,11,0)*1.025</f>
        <v>92401.300648419812</v>
      </c>
      <c r="L12" s="106">
        <f>VLOOKUP($A12,'January 1 2019'!$A$9:$M$18,12,0)*1.025</f>
        <v>97001.61204066292</v>
      </c>
      <c r="M12" s="106">
        <f>VLOOKUP($A12,'January 1 2019'!$A$9:$M$18,13,0)*1.025</f>
        <v>101787.75176890043</v>
      </c>
      <c r="N12" s="106"/>
    </row>
    <row r="13" spans="1:14">
      <c r="A13" s="104" t="s">
        <v>78</v>
      </c>
      <c r="B13" s="104">
        <v>1</v>
      </c>
      <c r="C13" s="104" t="s">
        <v>48</v>
      </c>
      <c r="D13" s="105" t="s">
        <v>92</v>
      </c>
      <c r="E13" s="104">
        <v>470</v>
      </c>
      <c r="F13" s="104">
        <v>10</v>
      </c>
      <c r="G13" s="93" t="s">
        <v>6</v>
      </c>
      <c r="H13" s="106">
        <f>VLOOKUP($A13,'January 1 2019'!$A$9:$M$18,8,0)*1.025</f>
        <v>79818.954908740081</v>
      </c>
      <c r="I13" s="106">
        <f>VLOOKUP($A13,'January 1 2019'!$A$9:$M$18,9,0)*1.025</f>
        <v>83809.339429322252</v>
      </c>
      <c r="J13" s="106">
        <f>VLOOKUP($A13,'January 1 2019'!$A$9:$M$18,10,0)*1.025</f>
        <v>88004.298213397007</v>
      </c>
      <c r="K13" s="106">
        <f>VLOOKUP($A13,'January 1 2019'!$A$9:$M$18,11,0)*1.025</f>
        <v>92401.300648419812</v>
      </c>
      <c r="L13" s="106">
        <f>VLOOKUP($A13,'January 1 2019'!$A$9:$M$18,12,0)*1.025</f>
        <v>97001.61204066292</v>
      </c>
      <c r="M13" s="106">
        <f>VLOOKUP($A13,'January 1 2019'!$A$9:$M$18,13,0)*1.025</f>
        <v>101787.75176890043</v>
      </c>
      <c r="N13" s="106"/>
    </row>
    <row r="14" spans="1:14">
      <c r="A14" s="104" t="s">
        <v>11</v>
      </c>
      <c r="B14" s="104">
        <v>2</v>
      </c>
      <c r="C14" s="104" t="s">
        <v>48</v>
      </c>
      <c r="D14" s="105" t="s">
        <v>103</v>
      </c>
      <c r="E14" s="104">
        <v>523</v>
      </c>
      <c r="F14" s="104">
        <v>11</v>
      </c>
      <c r="G14" s="93" t="s">
        <v>6</v>
      </c>
      <c r="H14" s="106">
        <f>VLOOKUP($A14,'January 1 2019'!$A$9:$M$18,8,0)*1.025</f>
        <v>87124.469839891579</v>
      </c>
      <c r="I14" s="106">
        <f>VLOOKUP($A14,'January 1 2019'!$A$9:$M$18,9,0)*1.025</f>
        <v>91472.003147068768</v>
      </c>
      <c r="J14" s="106">
        <f>VLOOKUP($A14,'January 1 2019'!$A$9:$M$18,10,0)*1.025</f>
        <v>96047.376422494504</v>
      </c>
      <c r="K14" s="106">
        <f>VLOOKUP($A14,'January 1 2019'!$A$9:$M$18,11,0)*1.025</f>
        <v>100823.34793083473</v>
      </c>
      <c r="L14" s="106">
        <f>VLOOKUP($A14,'January 1 2019'!$A$9:$M$18,12,0)*1.025</f>
        <v>105865.54672729126</v>
      </c>
      <c r="M14" s="106">
        <f>VLOOKUP($A14,'January 1 2019'!$A$9:$M$18,13,0)*1.025</f>
        <v>111089.46706506268</v>
      </c>
      <c r="N14" s="106"/>
    </row>
    <row r="15" spans="1:14" ht="14.25" customHeight="1">
      <c r="A15" s="104" t="s">
        <v>16</v>
      </c>
      <c r="B15" s="104">
        <v>5</v>
      </c>
      <c r="C15" s="104" t="s">
        <v>48</v>
      </c>
      <c r="D15" s="105" t="s">
        <v>104</v>
      </c>
      <c r="E15" s="104">
        <v>625</v>
      </c>
      <c r="F15" s="104">
        <v>13</v>
      </c>
      <c r="G15" s="93" t="s">
        <v>6</v>
      </c>
      <c r="H15" s="106">
        <f>VLOOKUP($A15,'January 1 2019'!$A$9:$M$18,8,0)*1.025</f>
        <v>101121.76999707313</v>
      </c>
      <c r="I15" s="106">
        <f>VLOOKUP($A15,'January 1 2019'!$A$9:$M$18,9,0)*1.025</f>
        <v>106162.72805631126</v>
      </c>
      <c r="J15" s="106">
        <f>VLOOKUP($A15,'January 1 2019'!$A$9:$M$18,10,0)*1.025</f>
        <v>111469.91340366571</v>
      </c>
      <c r="K15" s="106">
        <f>VLOOKUP($A15,'January 1 2019'!$A$9:$M$18,11,0)*1.025</f>
        <v>117042.08777843951</v>
      </c>
      <c r="L15" s="106">
        <f>VLOOKUP($A15,'January 1 2019'!$A$9:$M$18,12,0)*1.025</f>
        <v>122879.24870411122</v>
      </c>
      <c r="M15" s="106">
        <f>VLOOKUP($A15,'January 1 2019'!$A$9:$M$18,13,0)*1.025</f>
        <v>128943.45826841278</v>
      </c>
      <c r="N15" s="106"/>
    </row>
    <row r="16" spans="1:14">
      <c r="A16" s="104" t="s">
        <v>18</v>
      </c>
      <c r="B16" s="104">
        <v>5</v>
      </c>
      <c r="C16" s="104" t="s">
        <v>48</v>
      </c>
      <c r="D16" s="105" t="s">
        <v>105</v>
      </c>
      <c r="E16" s="104">
        <v>588</v>
      </c>
      <c r="F16" s="104">
        <v>13</v>
      </c>
      <c r="G16" s="93" t="s">
        <v>6</v>
      </c>
      <c r="H16" s="106">
        <f>VLOOKUP($A16,'January 1 2019'!$A$9:$M$18,8,0)*1.025</f>
        <v>101121.76999707313</v>
      </c>
      <c r="I16" s="106">
        <f>VLOOKUP($A16,'January 1 2019'!$A$9:$M$18,9,0)*1.025</f>
        <v>106162.72805631126</v>
      </c>
      <c r="J16" s="106">
        <f>VLOOKUP($A16,'January 1 2019'!$A$9:$M$18,10,0)*1.025</f>
        <v>111469.91340366571</v>
      </c>
      <c r="K16" s="106">
        <f>VLOOKUP($A16,'January 1 2019'!$A$9:$M$18,11,0)*1.025</f>
        <v>117042.08777843951</v>
      </c>
      <c r="L16" s="106">
        <f>VLOOKUP($A16,'January 1 2019'!$A$9:$M$18,12,0)*1.025</f>
        <v>122879.24870411122</v>
      </c>
      <c r="M16" s="106">
        <f>VLOOKUP($A16,'January 1 2019'!$A$9:$M$18,13,0)*1.025</f>
        <v>128943.45826841278</v>
      </c>
      <c r="N16" s="106"/>
    </row>
    <row r="17" spans="1:15">
      <c r="A17" s="104" t="s">
        <v>20</v>
      </c>
      <c r="B17" s="104">
        <v>5</v>
      </c>
      <c r="C17" s="104" t="s">
        <v>48</v>
      </c>
      <c r="D17" s="105" t="s">
        <v>107</v>
      </c>
      <c r="E17" s="104">
        <v>605</v>
      </c>
      <c r="F17" s="104">
        <v>13</v>
      </c>
      <c r="G17" s="93" t="s">
        <v>6</v>
      </c>
      <c r="H17" s="106">
        <f>VLOOKUP($A17,'January 1 2019'!$A$9:$M$18,8,0)*1.025</f>
        <v>101121.76999707313</v>
      </c>
      <c r="I17" s="106">
        <f>VLOOKUP($A17,'January 1 2019'!$A$9:$M$18,9,0)*1.025</f>
        <v>106162.72805631126</v>
      </c>
      <c r="J17" s="106">
        <f>VLOOKUP($A17,'January 1 2019'!$A$9:$M$18,10,0)*1.025</f>
        <v>111469.91340366571</v>
      </c>
      <c r="K17" s="106">
        <f>VLOOKUP($A17,'January 1 2019'!$A$9:$M$18,11,0)*1.025</f>
        <v>117042.08777843951</v>
      </c>
      <c r="L17" s="106">
        <f>VLOOKUP($A17,'January 1 2019'!$A$9:$M$18,12,0)*1.025</f>
        <v>122879.24870411122</v>
      </c>
      <c r="M17" s="106">
        <f>VLOOKUP($A17,'January 1 2019'!$A$9:$M$18,13,0)*1.025</f>
        <v>128943.45826841278</v>
      </c>
      <c r="N17" s="106"/>
    </row>
    <row r="18" spans="1:15">
      <c r="A18" s="104" t="s">
        <v>127</v>
      </c>
      <c r="B18" s="112">
        <v>5</v>
      </c>
      <c r="C18" s="104" t="s">
        <v>48</v>
      </c>
      <c r="D18" s="105" t="s">
        <v>125</v>
      </c>
      <c r="E18" s="104">
        <v>600</v>
      </c>
      <c r="F18" s="104">
        <v>13</v>
      </c>
      <c r="G18" s="93" t="s">
        <v>6</v>
      </c>
      <c r="H18" s="106">
        <f>VLOOKUP($A18,'January 1 2019'!$A$9:$M$18,8,0)*1.025</f>
        <v>101121.76999707313</v>
      </c>
      <c r="I18" s="106">
        <f>VLOOKUP($A18,'January 1 2019'!$A$9:$M$18,9,0)*1.025</f>
        <v>106162.72805631126</v>
      </c>
      <c r="J18" s="106">
        <f>VLOOKUP($A18,'January 1 2019'!$A$9:$M$18,10,0)*1.025</f>
        <v>111469.91340366571</v>
      </c>
      <c r="K18" s="106">
        <f>VLOOKUP($A18,'January 1 2019'!$A$9:$M$18,11,0)*1.025</f>
        <v>117042.08777843951</v>
      </c>
      <c r="L18" s="106">
        <f>VLOOKUP($A18,'January 1 2019'!$A$9:$M$18,12,0)*1.025</f>
        <v>122879.24870411122</v>
      </c>
      <c r="M18" s="106">
        <f>VLOOKUP($A18,'January 1 2019'!$A$9:$M$18,13,0)*1.025</f>
        <v>128943.45826841278</v>
      </c>
      <c r="N18" s="106"/>
    </row>
    <row r="19" spans="1:15">
      <c r="A19" s="93" t="s">
        <v>129</v>
      </c>
    </row>
    <row r="20" spans="1:15">
      <c r="B20" s="93"/>
    </row>
    <row r="21" spans="1:15">
      <c r="A21" s="115" t="s">
        <v>68</v>
      </c>
    </row>
    <row r="22" spans="1:15">
      <c r="A22" s="125">
        <f>O22</f>
        <v>35</v>
      </c>
      <c r="C22" s="93" t="s">
        <v>165</v>
      </c>
      <c r="O22" s="144">
        <v>35</v>
      </c>
    </row>
    <row r="23" spans="1:15">
      <c r="A23" s="125">
        <f>O23</f>
        <v>45</v>
      </c>
      <c r="C23" s="93" t="s">
        <v>166</v>
      </c>
      <c r="O23" s="144">
        <v>45</v>
      </c>
    </row>
    <row r="25" spans="1:15">
      <c r="A25" s="94" t="s">
        <v>70</v>
      </c>
      <c r="B25" s="124"/>
      <c r="C25" s="94"/>
      <c r="D25" s="124"/>
      <c r="E25" s="124"/>
      <c r="F25" s="124"/>
      <c r="G25" s="124"/>
    </row>
    <row r="26" spans="1:15">
      <c r="A26" s="118" t="s">
        <v>133</v>
      </c>
      <c r="B26" s="124"/>
      <c r="C26" s="94"/>
      <c r="D26" s="124"/>
      <c r="E26" s="124"/>
      <c r="F26" s="124"/>
      <c r="G26" s="124"/>
    </row>
    <row r="27" spans="1:15">
      <c r="A27" s="128">
        <f>'January 1 2019'!A27*1.025</f>
        <v>762.77888679472403</v>
      </c>
      <c r="C27" s="119" t="s">
        <v>24</v>
      </c>
      <c r="D27" s="124"/>
      <c r="E27" s="124"/>
      <c r="F27" s="124"/>
      <c r="G27" s="124"/>
      <c r="O27" s="148">
        <f>A27</f>
        <v>762.77888679472403</v>
      </c>
    </row>
    <row r="28" spans="1:15">
      <c r="A28" s="128">
        <f>'January 1 2019'!A28*1.025</f>
        <v>1044.0824465054818</v>
      </c>
      <c r="C28" s="119" t="s">
        <v>25</v>
      </c>
      <c r="D28" s="124"/>
      <c r="E28" s="124"/>
      <c r="F28" s="124"/>
      <c r="G28" s="124"/>
      <c r="O28" s="148">
        <f>A28</f>
        <v>1044.0824465054818</v>
      </c>
    </row>
    <row r="29" spans="1:15">
      <c r="A29" s="128">
        <f>'January 1 2019'!A29*1.025</f>
        <v>1233.5701100474648</v>
      </c>
      <c r="C29" s="119" t="s">
        <v>26</v>
      </c>
      <c r="D29" s="124"/>
      <c r="E29" s="124"/>
      <c r="F29" s="124"/>
      <c r="G29" s="124"/>
      <c r="O29" s="148">
        <f>A29</f>
        <v>1233.5701100474648</v>
      </c>
    </row>
    <row r="30" spans="1:15">
      <c r="A30" s="128">
        <f>'January 1 2019'!A30*1.025</f>
        <v>1452.576355717023</v>
      </c>
      <c r="C30" s="119" t="s">
        <v>27</v>
      </c>
      <c r="D30" s="105"/>
      <c r="E30" s="104"/>
      <c r="F30" s="104"/>
      <c r="O30" s="148">
        <f>A30</f>
        <v>1452.576355717023</v>
      </c>
    </row>
    <row r="31" spans="1:15">
      <c r="A31" s="104"/>
      <c r="B31" s="104"/>
      <c r="C31" s="104"/>
      <c r="D31" s="105"/>
      <c r="E31" s="104"/>
      <c r="F31" s="104"/>
    </row>
  </sheetData>
  <mergeCells count="3">
    <mergeCell ref="A1:L1"/>
    <mergeCell ref="H2:I2"/>
    <mergeCell ref="A4:C4"/>
  </mergeCells>
  <pageMargins left="0.25" right="0.25" top="1" bottom="0.5" header="0.5" footer="0.5"/>
  <pageSetup scale="96"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S31"/>
  <sheetViews>
    <sheetView showGridLines="0" topLeftCell="G14" zoomScaleNormal="100" workbookViewId="0">
      <selection activeCell="O34" sqref="O34"/>
    </sheetView>
  </sheetViews>
  <sheetFormatPr defaultColWidth="9.265625" defaultRowHeight="13.15"/>
  <cols>
    <col min="1" max="1" width="14.59765625" style="93" customWidth="1"/>
    <col min="2" max="2" width="23" style="112" hidden="1" customWidth="1"/>
    <col min="3" max="3" width="15.59765625" style="93" customWidth="1"/>
    <col min="4" max="4" width="38" style="93" customWidth="1"/>
    <col min="5" max="5" width="5.265625" style="93" hidden="1" customWidth="1"/>
    <col min="6" max="6" width="6.265625" style="93" customWidth="1"/>
    <col min="7" max="7" width="4.73046875" style="93" bestFit="1" customWidth="1"/>
    <col min="8" max="8" width="11.73046875" style="93" customWidth="1"/>
    <col min="9" max="9" width="10.265625" style="93" customWidth="1"/>
    <col min="10" max="10" width="9.73046875" style="93" customWidth="1"/>
    <col min="11" max="12" width="10.59765625" style="93" customWidth="1"/>
    <col min="13" max="13" width="10" style="93" bestFit="1" customWidth="1"/>
    <col min="14" max="14" width="10" style="93" customWidth="1"/>
    <col min="15" max="15" width="7.265625" style="144" bestFit="1" customWidth="1"/>
    <col min="16" max="16" width="7.3984375" style="144" bestFit="1" customWidth="1"/>
    <col min="17" max="17" width="9.265625" style="93"/>
    <col min="18" max="19" width="9.265625" style="125"/>
    <col min="20" max="16384" width="9.265625" style="93"/>
  </cols>
  <sheetData>
    <row r="1" spans="1:17" ht="21">
      <c r="A1" s="187" t="s">
        <v>0</v>
      </c>
      <c r="B1" s="187"/>
      <c r="C1" s="187"/>
      <c r="D1" s="187"/>
      <c r="E1" s="187"/>
      <c r="F1" s="187"/>
      <c r="G1" s="187"/>
      <c r="H1" s="187"/>
      <c r="I1" s="187"/>
      <c r="J1" s="187"/>
      <c r="K1" s="187"/>
      <c r="L1" s="187"/>
      <c r="O1" s="144">
        <v>1.0249999999999999</v>
      </c>
    </row>
    <row r="2" spans="1:17">
      <c r="A2" s="94"/>
      <c r="B2" s="95"/>
      <c r="C2" s="96"/>
      <c r="D2" s="95"/>
      <c r="E2" s="95"/>
      <c r="F2" s="137"/>
      <c r="G2" s="137"/>
      <c r="H2" s="188"/>
      <c r="I2" s="188"/>
      <c r="J2" s="137"/>
      <c r="K2" s="137"/>
      <c r="L2" s="137"/>
    </row>
    <row r="3" spans="1:17">
      <c r="A3" s="94" t="s">
        <v>1</v>
      </c>
      <c r="B3" s="137"/>
      <c r="C3" s="94"/>
      <c r="D3" s="137"/>
      <c r="E3" s="137"/>
      <c r="F3" s="137"/>
      <c r="G3" s="137"/>
      <c r="H3" s="137"/>
      <c r="I3" s="137"/>
      <c r="J3" s="137"/>
      <c r="K3" s="137"/>
      <c r="L3" s="137"/>
    </row>
    <row r="4" spans="1:17">
      <c r="A4" s="189" t="s">
        <v>134</v>
      </c>
      <c r="B4" s="189"/>
      <c r="C4" s="189"/>
      <c r="D4" s="98"/>
      <c r="E4" s="98"/>
      <c r="F4" s="98"/>
      <c r="G4" s="98"/>
      <c r="H4" s="98"/>
      <c r="I4" s="137"/>
      <c r="J4" s="137"/>
      <c r="K4" s="137"/>
      <c r="L4" s="137"/>
    </row>
    <row r="5" spans="1:17">
      <c r="A5" s="94" t="s">
        <v>119</v>
      </c>
      <c r="C5" s="94"/>
      <c r="D5" s="137"/>
      <c r="E5" s="137"/>
      <c r="F5" s="137"/>
      <c r="G5" s="137"/>
      <c r="H5" s="137"/>
      <c r="I5" s="137"/>
      <c r="J5" s="137"/>
      <c r="K5" s="137"/>
      <c r="L5" s="137"/>
    </row>
    <row r="6" spans="1:17">
      <c r="A6" s="94"/>
      <c r="B6" s="94"/>
      <c r="C6" s="94"/>
      <c r="D6" s="137"/>
      <c r="E6" s="137"/>
      <c r="F6" s="137"/>
      <c r="G6" s="137"/>
      <c r="H6" s="137"/>
      <c r="I6" s="137"/>
      <c r="J6" s="137"/>
      <c r="K6" s="137"/>
      <c r="L6" s="137"/>
    </row>
    <row r="7" spans="1:17">
      <c r="A7" s="94"/>
      <c r="B7" s="94"/>
      <c r="C7" s="94"/>
      <c r="D7" s="137"/>
      <c r="E7" s="137"/>
      <c r="F7" s="137"/>
      <c r="G7" s="137"/>
      <c r="H7" s="137"/>
      <c r="I7" s="137"/>
      <c r="J7" s="137"/>
      <c r="K7" s="137"/>
      <c r="L7" s="137"/>
      <c r="M7" s="141">
        <v>34.525197001003797</v>
      </c>
      <c r="N7" s="141"/>
    </row>
    <row r="8" spans="1:17" ht="30.75" customHeight="1" thickBot="1">
      <c r="A8" s="126" t="s">
        <v>36</v>
      </c>
      <c r="B8" s="126" t="s">
        <v>37</v>
      </c>
      <c r="C8" s="126" t="s">
        <v>2</v>
      </c>
      <c r="D8" s="126" t="s">
        <v>38</v>
      </c>
      <c r="E8" s="126" t="s">
        <v>39</v>
      </c>
      <c r="F8" s="126" t="s">
        <v>40</v>
      </c>
      <c r="G8" s="127" t="s">
        <v>131</v>
      </c>
      <c r="H8" s="102" t="s">
        <v>41</v>
      </c>
      <c r="I8" s="102" t="s">
        <v>42</v>
      </c>
      <c r="J8" s="102" t="s">
        <v>43</v>
      </c>
      <c r="K8" s="102" t="s">
        <v>44</v>
      </c>
      <c r="L8" s="102" t="s">
        <v>45</v>
      </c>
      <c r="M8" s="102" t="s">
        <v>46</v>
      </c>
      <c r="N8" s="103"/>
      <c r="O8" s="145"/>
    </row>
    <row r="9" spans="1:17" ht="13.5" thickTop="1">
      <c r="A9" s="104" t="s">
        <v>8</v>
      </c>
      <c r="B9" s="104" t="s">
        <v>159</v>
      </c>
      <c r="C9" s="104" t="s">
        <v>48</v>
      </c>
      <c r="D9" s="105" t="s">
        <v>99</v>
      </c>
      <c r="E9" s="104">
        <v>395</v>
      </c>
      <c r="F9" s="104">
        <v>8</v>
      </c>
      <c r="G9" s="93" t="s">
        <v>6</v>
      </c>
      <c r="H9" s="106">
        <f t="shared" ref="H9:H18" si="0">VLOOKUP($A9,Range2019,8,0)*IncrPerc2020</f>
        <v>67203.559485551174</v>
      </c>
      <c r="I9" s="106">
        <f t="shared" ref="I9:I18" si="1">VLOOKUP($A9,Range2019,9,0)*IncrPerc2020</f>
        <v>69887.825058723232</v>
      </c>
      <c r="J9" s="106">
        <f t="shared" ref="J9:J18" si="2">VLOOKUP($A9,Range2019,10,0)*IncrPerc2020</f>
        <v>72679.461254822163</v>
      </c>
      <c r="K9" s="106">
        <f t="shared" ref="K9:K18" si="3">VLOOKUP($A9,Range2019,11,0)*IncrPerc2020</f>
        <v>75582.762898765053</v>
      </c>
      <c r="L9" s="106">
        <f t="shared" ref="L9:L18" si="4">VLOOKUP($A9,Range2019,12,0)*IncrPerc2020</f>
        <v>78602.19660846566</v>
      </c>
      <c r="M9" s="106">
        <f t="shared" ref="M9:M18" si="5">VLOOKUP($A9,Range2019,13,0)*IncrPerc2020</f>
        <v>81742.407666554282</v>
      </c>
      <c r="N9" s="106"/>
      <c r="O9" s="146"/>
    </row>
    <row r="10" spans="1:17">
      <c r="A10" s="104" t="s">
        <v>78</v>
      </c>
      <c r="B10" s="104" t="s">
        <v>160</v>
      </c>
      <c r="C10" s="104" t="s">
        <v>48</v>
      </c>
      <c r="D10" s="105" t="s">
        <v>92</v>
      </c>
      <c r="E10" s="104">
        <v>470</v>
      </c>
      <c r="F10" s="104">
        <v>10</v>
      </c>
      <c r="G10" s="93" t="s">
        <v>6</v>
      </c>
      <c r="H10" s="106">
        <f t="shared" si="0"/>
        <v>81814.42878145857</v>
      </c>
      <c r="I10" s="106">
        <f t="shared" si="1"/>
        <v>85904.572915055294</v>
      </c>
      <c r="J10" s="106">
        <f t="shared" si="2"/>
        <v>90204.405668731924</v>
      </c>
      <c r="K10" s="106">
        <f t="shared" si="3"/>
        <v>94711.333164630298</v>
      </c>
      <c r="L10" s="106">
        <f t="shared" si="4"/>
        <v>99426.652341679481</v>
      </c>
      <c r="M10" s="106">
        <f t="shared" si="5"/>
        <v>104332.44556312294</v>
      </c>
      <c r="N10" s="106"/>
      <c r="O10" s="146"/>
      <c r="Q10" s="142"/>
    </row>
    <row r="11" spans="1:17">
      <c r="A11" s="104" t="s">
        <v>13</v>
      </c>
      <c r="B11" s="104" t="s">
        <v>160</v>
      </c>
      <c r="C11" s="104" t="s">
        <v>48</v>
      </c>
      <c r="D11" s="105" t="s">
        <v>100</v>
      </c>
      <c r="E11" s="104">
        <v>470</v>
      </c>
      <c r="F11" s="104">
        <v>10</v>
      </c>
      <c r="G11" s="93" t="s">
        <v>6</v>
      </c>
      <c r="H11" s="106">
        <f t="shared" si="0"/>
        <v>81814.42878145857</v>
      </c>
      <c r="I11" s="106">
        <f t="shared" si="1"/>
        <v>85904.572915055294</v>
      </c>
      <c r="J11" s="106">
        <f t="shared" si="2"/>
        <v>90204.405668731924</v>
      </c>
      <c r="K11" s="106">
        <f t="shared" si="3"/>
        <v>94711.333164630298</v>
      </c>
      <c r="L11" s="106">
        <f t="shared" si="4"/>
        <v>99426.652341679481</v>
      </c>
      <c r="M11" s="106">
        <f t="shared" si="5"/>
        <v>104332.44556312294</v>
      </c>
      <c r="N11" s="106"/>
      <c r="O11" s="146"/>
      <c r="Q11" s="142"/>
    </row>
    <row r="12" spans="1:17">
      <c r="A12" s="104" t="s">
        <v>10</v>
      </c>
      <c r="B12" s="104" t="s">
        <v>160</v>
      </c>
      <c r="C12" s="104" t="s">
        <v>48</v>
      </c>
      <c r="D12" s="105" t="s">
        <v>102</v>
      </c>
      <c r="E12" s="104">
        <v>485</v>
      </c>
      <c r="F12" s="104">
        <v>10</v>
      </c>
      <c r="G12" s="93" t="s">
        <v>6</v>
      </c>
      <c r="H12" s="106">
        <f t="shared" si="0"/>
        <v>81814.42878145857</v>
      </c>
      <c r="I12" s="106">
        <f t="shared" si="1"/>
        <v>85904.572915055294</v>
      </c>
      <c r="J12" s="106">
        <f t="shared" si="2"/>
        <v>90204.405668731924</v>
      </c>
      <c r="K12" s="106">
        <f t="shared" si="3"/>
        <v>94711.333164630298</v>
      </c>
      <c r="L12" s="106">
        <f t="shared" si="4"/>
        <v>99426.652341679481</v>
      </c>
      <c r="M12" s="106">
        <f t="shared" si="5"/>
        <v>104332.44556312294</v>
      </c>
      <c r="N12" s="106"/>
      <c r="O12" s="146"/>
      <c r="Q12" s="142"/>
    </row>
    <row r="13" spans="1:17">
      <c r="A13" s="104" t="s">
        <v>11</v>
      </c>
      <c r="B13" s="104" t="s">
        <v>162</v>
      </c>
      <c r="C13" s="104" t="s">
        <v>48</v>
      </c>
      <c r="D13" s="105" t="s">
        <v>103</v>
      </c>
      <c r="E13" s="104">
        <v>523</v>
      </c>
      <c r="F13" s="104">
        <v>11</v>
      </c>
      <c r="G13" s="93" t="s">
        <v>6</v>
      </c>
      <c r="H13" s="106">
        <f t="shared" si="0"/>
        <v>89302.581585888867</v>
      </c>
      <c r="I13" s="106">
        <f t="shared" si="1"/>
        <v>93758.803225745476</v>
      </c>
      <c r="J13" s="106">
        <f t="shared" si="2"/>
        <v>98448.560833056865</v>
      </c>
      <c r="K13" s="106">
        <f t="shared" si="3"/>
        <v>103343.93162910559</v>
      </c>
      <c r="L13" s="106">
        <f t="shared" si="4"/>
        <v>108512.18539547354</v>
      </c>
      <c r="M13" s="106">
        <f t="shared" si="5"/>
        <v>113866.70374168924</v>
      </c>
      <c r="N13" s="106"/>
      <c r="O13" s="146"/>
      <c r="Q13" s="142"/>
    </row>
    <row r="14" spans="1:17">
      <c r="A14" s="104" t="s">
        <v>9</v>
      </c>
      <c r="B14" s="104" t="s">
        <v>161</v>
      </c>
      <c r="C14" s="104" t="s">
        <v>48</v>
      </c>
      <c r="D14" s="105" t="s">
        <v>101</v>
      </c>
      <c r="E14" s="104">
        <v>578</v>
      </c>
      <c r="F14" s="104">
        <v>12</v>
      </c>
      <c r="G14" s="93" t="s">
        <v>6</v>
      </c>
      <c r="H14" s="106">
        <f t="shared" si="0"/>
        <v>98209.949265961652</v>
      </c>
      <c r="I14" s="106">
        <f t="shared" si="1"/>
        <v>103106.58927922476</v>
      </c>
      <c r="J14" s="106">
        <f t="shared" si="2"/>
        <v>108273.57128994387</v>
      </c>
      <c r="K14" s="106">
        <f t="shared" si="3"/>
        <v>113679.1674061926</v>
      </c>
      <c r="L14" s="106">
        <f t="shared" si="4"/>
        <v>119355.10678911456</v>
      </c>
      <c r="M14" s="106">
        <f t="shared" si="5"/>
        <v>125245.1458611313</v>
      </c>
      <c r="N14" s="106"/>
      <c r="O14" s="146"/>
      <c r="Q14" s="142"/>
    </row>
    <row r="15" spans="1:17" ht="12.75" customHeight="1">
      <c r="A15" s="104" t="s">
        <v>16</v>
      </c>
      <c r="B15" s="104" t="s">
        <v>163</v>
      </c>
      <c r="C15" s="104" t="s">
        <v>48</v>
      </c>
      <c r="D15" s="105" t="s">
        <v>104</v>
      </c>
      <c r="E15" s="104">
        <v>625</v>
      </c>
      <c r="F15" s="104">
        <v>13</v>
      </c>
      <c r="G15" s="93" t="s">
        <v>6</v>
      </c>
      <c r="H15" s="106">
        <f t="shared" si="0"/>
        <v>103649.81424699996</v>
      </c>
      <c r="I15" s="106">
        <f t="shared" si="1"/>
        <v>108816.79625771903</v>
      </c>
      <c r="J15" s="106">
        <f t="shared" si="2"/>
        <v>114256.66123875734</v>
      </c>
      <c r="K15" s="106">
        <f t="shared" si="3"/>
        <v>119968.13997290049</v>
      </c>
      <c r="L15" s="106">
        <f t="shared" si="4"/>
        <v>125951.22992171398</v>
      </c>
      <c r="M15" s="106">
        <f t="shared" si="5"/>
        <v>132167.04472512309</v>
      </c>
      <c r="N15" s="106"/>
      <c r="O15" s="146"/>
      <c r="Q15" s="142"/>
    </row>
    <row r="16" spans="1:17">
      <c r="A16" s="104" t="s">
        <v>18</v>
      </c>
      <c r="B16" s="104" t="s">
        <v>163</v>
      </c>
      <c r="C16" s="104" t="s">
        <v>48</v>
      </c>
      <c r="D16" s="105" t="s">
        <v>105</v>
      </c>
      <c r="E16" s="104">
        <v>588</v>
      </c>
      <c r="F16" s="104">
        <v>13</v>
      </c>
      <c r="G16" s="93" t="s">
        <v>6</v>
      </c>
      <c r="H16" s="106">
        <f t="shared" si="0"/>
        <v>103649.81424699996</v>
      </c>
      <c r="I16" s="106">
        <f t="shared" si="1"/>
        <v>108816.79625771903</v>
      </c>
      <c r="J16" s="106">
        <f t="shared" si="2"/>
        <v>114256.66123875734</v>
      </c>
      <c r="K16" s="106">
        <f t="shared" si="3"/>
        <v>119968.13997290049</v>
      </c>
      <c r="L16" s="106">
        <f t="shared" si="4"/>
        <v>125951.22992171398</v>
      </c>
      <c r="M16" s="106">
        <f t="shared" si="5"/>
        <v>132167.04472512309</v>
      </c>
      <c r="N16" s="106"/>
      <c r="O16" s="146"/>
      <c r="Q16" s="142"/>
    </row>
    <row r="17" spans="1:17">
      <c r="A17" s="104" t="s">
        <v>20</v>
      </c>
      <c r="B17" s="104" t="s">
        <v>163</v>
      </c>
      <c r="C17" s="104" t="s">
        <v>48</v>
      </c>
      <c r="D17" s="105" t="s">
        <v>107</v>
      </c>
      <c r="E17" s="104">
        <v>605</v>
      </c>
      <c r="F17" s="104">
        <v>13</v>
      </c>
      <c r="G17" s="93" t="s">
        <v>6</v>
      </c>
      <c r="H17" s="106">
        <f t="shared" si="0"/>
        <v>103649.81424699996</v>
      </c>
      <c r="I17" s="106">
        <f t="shared" si="1"/>
        <v>108816.79625771903</v>
      </c>
      <c r="J17" s="106">
        <f t="shared" si="2"/>
        <v>114256.66123875734</v>
      </c>
      <c r="K17" s="106">
        <f t="shared" si="3"/>
        <v>119968.13997290049</v>
      </c>
      <c r="L17" s="106">
        <f t="shared" si="4"/>
        <v>125951.22992171398</v>
      </c>
      <c r="M17" s="106">
        <f t="shared" si="5"/>
        <v>132167.04472512309</v>
      </c>
      <c r="N17" s="106"/>
      <c r="O17" s="146"/>
      <c r="Q17" s="142"/>
    </row>
    <row r="18" spans="1:17">
      <c r="A18" s="104" t="s">
        <v>127</v>
      </c>
      <c r="B18" s="104" t="s">
        <v>163</v>
      </c>
      <c r="C18" s="104" t="s">
        <v>48</v>
      </c>
      <c r="D18" s="105" t="s">
        <v>125</v>
      </c>
      <c r="E18" s="104">
        <v>600</v>
      </c>
      <c r="F18" s="104">
        <v>13</v>
      </c>
      <c r="G18" s="93" t="s">
        <v>6</v>
      </c>
      <c r="H18" s="106">
        <f t="shared" si="0"/>
        <v>103649.81424699996</v>
      </c>
      <c r="I18" s="106">
        <f t="shared" si="1"/>
        <v>108816.79625771903</v>
      </c>
      <c r="J18" s="106">
        <f t="shared" si="2"/>
        <v>114256.66123875734</v>
      </c>
      <c r="K18" s="106">
        <f t="shared" si="3"/>
        <v>119968.13997290049</v>
      </c>
      <c r="L18" s="106">
        <f t="shared" si="4"/>
        <v>125951.22992171398</v>
      </c>
      <c r="M18" s="106">
        <f t="shared" si="5"/>
        <v>132167.04472512309</v>
      </c>
      <c r="N18" s="106"/>
      <c r="O18" s="146"/>
    </row>
    <row r="19" spans="1:17">
      <c r="A19" s="93" t="s">
        <v>129</v>
      </c>
    </row>
    <row r="20" spans="1:17">
      <c r="B20" s="93"/>
    </row>
    <row r="21" spans="1:17">
      <c r="A21" s="115" t="s">
        <v>68</v>
      </c>
    </row>
    <row r="22" spans="1:17">
      <c r="A22" s="116">
        <f>O22</f>
        <v>35</v>
      </c>
      <c r="C22" s="93" t="s">
        <v>165</v>
      </c>
      <c r="O22" s="147">
        <f>'March 1 2019'!O22</f>
        <v>35</v>
      </c>
      <c r="P22" s="144" t="s">
        <v>167</v>
      </c>
    </row>
    <row r="23" spans="1:17">
      <c r="A23" s="116">
        <f>O23</f>
        <v>45</v>
      </c>
      <c r="C23" s="93" t="s">
        <v>166</v>
      </c>
      <c r="O23" s="147">
        <f>'March 1 2019'!O23</f>
        <v>45</v>
      </c>
      <c r="P23" s="144" t="s">
        <v>168</v>
      </c>
    </row>
    <row r="25" spans="1:17">
      <c r="A25" s="94" t="s">
        <v>70</v>
      </c>
      <c r="B25" s="137"/>
      <c r="C25" s="94"/>
      <c r="D25" s="137"/>
      <c r="E25" s="137"/>
      <c r="F25" s="137"/>
      <c r="G25" s="137"/>
    </row>
    <row r="26" spans="1:17">
      <c r="A26" s="118" t="s">
        <v>133</v>
      </c>
      <c r="B26" s="137"/>
      <c r="C26" s="94"/>
      <c r="D26" s="137"/>
      <c r="E26" s="137"/>
      <c r="F26" s="137"/>
      <c r="G26" s="137"/>
    </row>
    <row r="27" spans="1:17">
      <c r="A27" s="128">
        <f>O27</f>
        <v>781.84835896459208</v>
      </c>
      <c r="C27" s="119" t="s">
        <v>24</v>
      </c>
      <c r="D27" s="137"/>
      <c r="E27" s="137"/>
      <c r="F27" s="137"/>
      <c r="G27" s="137"/>
      <c r="I27" s="143"/>
      <c r="O27" s="148">
        <f>'March 1 2019'!O27*IncrPerc2020</f>
        <v>781.84835896459208</v>
      </c>
      <c r="P27" s="144" t="s">
        <v>169</v>
      </c>
    </row>
    <row r="28" spans="1:17">
      <c r="A28" s="128">
        <f>O28</f>
        <v>1070.1845076681188</v>
      </c>
      <c r="C28" s="119" t="s">
        <v>25</v>
      </c>
      <c r="D28" s="137"/>
      <c r="E28" s="137"/>
      <c r="F28" s="137"/>
      <c r="G28" s="137"/>
      <c r="I28" s="143"/>
      <c r="O28" s="148">
        <f>'March 1 2019'!O28*IncrPerc2020</f>
        <v>1070.1845076681188</v>
      </c>
      <c r="P28" s="144" t="s">
        <v>169</v>
      </c>
    </row>
    <row r="29" spans="1:17">
      <c r="A29" s="128">
        <f>O29</f>
        <v>1264.4093627986513</v>
      </c>
      <c r="C29" s="119" t="s">
        <v>26</v>
      </c>
      <c r="D29" s="137"/>
      <c r="E29" s="137"/>
      <c r="F29" s="137"/>
      <c r="G29" s="137"/>
      <c r="I29" s="143"/>
      <c r="O29" s="148">
        <f>'March 1 2019'!O29*IncrPerc2020</f>
        <v>1264.4093627986513</v>
      </c>
      <c r="P29" s="144" t="s">
        <v>169</v>
      </c>
    </row>
    <row r="30" spans="1:17">
      <c r="A30" s="128">
        <f>O30</f>
        <v>1488.8907646099485</v>
      </c>
      <c r="C30" s="119" t="s">
        <v>27</v>
      </c>
      <c r="D30" s="105"/>
      <c r="E30" s="104"/>
      <c r="F30" s="104"/>
      <c r="I30" s="143"/>
      <c r="O30" s="148">
        <f>'March 1 2019'!O30*IncrPerc2020</f>
        <v>1488.8907646099485</v>
      </c>
      <c r="P30" s="144" t="s">
        <v>169</v>
      </c>
    </row>
    <row r="31" spans="1:17">
      <c r="A31" s="104"/>
      <c r="B31" s="104"/>
      <c r="C31" s="104"/>
      <c r="D31" s="105"/>
      <c r="E31" s="104"/>
      <c r="F31" s="104"/>
    </row>
  </sheetData>
  <mergeCells count="3">
    <mergeCell ref="A1:L1"/>
    <mergeCell ref="H2:I2"/>
    <mergeCell ref="A4:C4"/>
  </mergeCells>
  <pageMargins left="0.25" right="0.25" top="1" bottom="0.5" header="0.5" footer="0.5"/>
  <pageSetup scale="9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X68"/>
  <sheetViews>
    <sheetView topLeftCell="A22" workbookViewId="0">
      <selection activeCell="H60" sqref="H60"/>
    </sheetView>
  </sheetViews>
  <sheetFormatPr defaultColWidth="9.265625" defaultRowHeight="12.75"/>
  <cols>
    <col min="1" max="1" width="9" style="19" customWidth="1"/>
    <col min="2" max="2" width="6.265625" style="20" customWidth="1"/>
    <col min="3" max="3" width="5.73046875" style="19" customWidth="1"/>
    <col min="4" max="4" width="28.73046875" style="19" customWidth="1"/>
    <col min="5" max="5" width="6.73046875" style="19" hidden="1" customWidth="1"/>
    <col min="6" max="6" width="6.265625" style="19" customWidth="1"/>
    <col min="7" max="7" width="2.59765625" style="19" customWidth="1"/>
    <col min="8" max="8" width="10.265625" style="19" bestFit="1" customWidth="1"/>
    <col min="9" max="11" width="7.59765625" style="19" bestFit="1" customWidth="1"/>
    <col min="12" max="12" width="9.265625" style="19"/>
    <col min="13" max="13" width="8.59765625" style="19" bestFit="1" customWidth="1"/>
    <col min="14" max="14" width="8.73046875" style="19" customWidth="1"/>
    <col min="15" max="15" width="11.265625" style="19" bestFit="1" customWidth="1"/>
    <col min="16" max="16" width="9.265625" style="19" customWidth="1"/>
    <col min="17" max="16384" width="9.265625" style="19"/>
  </cols>
  <sheetData>
    <row r="1" spans="1:15" ht="20.65">
      <c r="A1" s="185" t="s">
        <v>0</v>
      </c>
      <c r="B1" s="185"/>
      <c r="C1" s="185"/>
      <c r="D1" s="185"/>
      <c r="E1" s="185"/>
      <c r="F1" s="185"/>
      <c r="G1" s="185"/>
      <c r="H1" s="185"/>
      <c r="I1" s="185"/>
      <c r="J1" s="185"/>
      <c r="K1" s="185"/>
      <c r="L1" s="185"/>
      <c r="M1" s="185"/>
    </row>
    <row r="2" spans="1:15" ht="13.15">
      <c r="A2" s="1"/>
      <c r="B2" s="2"/>
      <c r="C2" s="3"/>
      <c r="D2" s="2"/>
      <c r="E2" s="2"/>
      <c r="F2" s="4"/>
      <c r="G2" s="4"/>
      <c r="H2" s="4"/>
      <c r="I2" s="4"/>
      <c r="J2" s="4"/>
      <c r="K2" s="4"/>
      <c r="L2" s="4"/>
      <c r="M2" s="4"/>
    </row>
    <row r="3" spans="1:15" ht="13.15">
      <c r="A3" s="1" t="s">
        <v>1</v>
      </c>
      <c r="B3" s="4"/>
      <c r="C3" s="1"/>
      <c r="D3" s="4"/>
      <c r="E3" s="4"/>
      <c r="F3" s="4"/>
      <c r="G3" s="4"/>
      <c r="H3" s="4"/>
      <c r="I3" s="4"/>
      <c r="J3" s="4"/>
      <c r="K3" s="4"/>
      <c r="L3" s="4"/>
      <c r="M3" s="4"/>
    </row>
    <row r="4" spans="1:15" s="44" customFormat="1" ht="13.15">
      <c r="A4" s="40" t="s">
        <v>59</v>
      </c>
      <c r="B4" s="41"/>
      <c r="C4" s="42"/>
      <c r="D4" s="41"/>
      <c r="E4" s="41"/>
      <c r="F4" s="41"/>
      <c r="G4" s="41"/>
      <c r="H4" s="41"/>
      <c r="I4" s="43"/>
      <c r="J4" s="41"/>
      <c r="K4" s="41"/>
      <c r="L4" s="43"/>
      <c r="M4" s="41"/>
    </row>
    <row r="5" spans="1:15" ht="13.15">
      <c r="A5" s="5"/>
      <c r="B5" s="4"/>
      <c r="C5" s="1"/>
      <c r="D5" s="4"/>
      <c r="E5" s="4"/>
      <c r="F5" s="4"/>
      <c r="G5" s="4"/>
      <c r="H5" s="4"/>
      <c r="I5" s="6"/>
      <c r="J5" s="4"/>
      <c r="K5" s="4"/>
      <c r="L5" s="6"/>
      <c r="M5" s="4"/>
    </row>
    <row r="6" spans="1:15" ht="13.15">
      <c r="A6" s="5" t="s">
        <v>62</v>
      </c>
      <c r="B6" s="4"/>
      <c r="C6" s="1"/>
      <c r="D6" s="4"/>
      <c r="E6" s="4"/>
      <c r="F6" s="4"/>
      <c r="G6" s="4"/>
      <c r="H6" s="4"/>
      <c r="I6" s="6"/>
      <c r="J6" s="4"/>
      <c r="K6" s="4"/>
      <c r="L6" s="6"/>
      <c r="M6" s="4"/>
    </row>
    <row r="7" spans="1:15" ht="13.15">
      <c r="A7" s="5"/>
      <c r="B7" s="4"/>
      <c r="C7" s="1"/>
      <c r="D7" s="4"/>
      <c r="E7" s="4"/>
      <c r="F7" s="4"/>
      <c r="G7" s="4"/>
      <c r="H7" s="4"/>
      <c r="I7" s="6"/>
      <c r="J7" s="4"/>
      <c r="K7" s="4"/>
      <c r="L7" s="6"/>
      <c r="M7" s="4"/>
    </row>
    <row r="8" spans="1:15" ht="13.15">
      <c r="A8" s="5" t="s">
        <v>22</v>
      </c>
      <c r="B8" s="4"/>
      <c r="C8" s="1"/>
      <c r="D8" s="4"/>
      <c r="E8" s="4"/>
      <c r="F8" s="4"/>
      <c r="G8" s="4"/>
      <c r="H8" s="4"/>
      <c r="I8" s="6"/>
      <c r="J8" s="4"/>
      <c r="K8" s="4"/>
      <c r="L8" s="6"/>
      <c r="M8" s="4"/>
    </row>
    <row r="9" spans="1:15" ht="13.15">
      <c r="A9" s="5" t="s">
        <v>23</v>
      </c>
      <c r="B9" s="4"/>
      <c r="C9" s="1"/>
      <c r="D9" s="4"/>
      <c r="E9" s="4"/>
      <c r="F9" s="4"/>
      <c r="G9" s="4"/>
      <c r="H9" s="4"/>
      <c r="I9" s="6"/>
      <c r="J9" s="4"/>
      <c r="K9" s="4"/>
      <c r="L9" s="6"/>
      <c r="M9" s="4"/>
    </row>
    <row r="10" spans="1:15" ht="13.15">
      <c r="A10" s="37">
        <f>A36*1.02</f>
        <v>508.75560000000002</v>
      </c>
      <c r="B10" s="27" t="s">
        <v>24</v>
      </c>
      <c r="C10" s="1"/>
      <c r="D10" s="4"/>
      <c r="E10" s="4"/>
      <c r="F10" s="4"/>
      <c r="G10" s="4"/>
      <c r="H10" s="4"/>
      <c r="I10" s="6"/>
      <c r="J10" s="4"/>
      <c r="K10" s="4"/>
      <c r="L10" s="6"/>
      <c r="M10" s="4"/>
    </row>
    <row r="11" spans="1:15" ht="13.15">
      <c r="A11" s="37">
        <f>A37*1.02</f>
        <v>713.71440000000007</v>
      </c>
      <c r="B11" s="27" t="s">
        <v>25</v>
      </c>
      <c r="C11" s="1"/>
      <c r="D11" s="4"/>
      <c r="E11" s="4"/>
      <c r="F11" s="4"/>
      <c r="G11" s="4"/>
      <c r="H11" s="4"/>
      <c r="I11" s="6"/>
      <c r="J11" s="4"/>
      <c r="K11" s="4"/>
      <c r="L11" s="6"/>
      <c r="M11" s="4"/>
    </row>
    <row r="12" spans="1:15" ht="13.15">
      <c r="A12" s="37">
        <f>A38*1.02</f>
        <v>865.61279999999999</v>
      </c>
      <c r="B12" s="29" t="s">
        <v>26</v>
      </c>
      <c r="C12" s="1"/>
      <c r="D12" s="4"/>
      <c r="E12" s="4"/>
      <c r="F12" s="4"/>
      <c r="G12" s="4"/>
      <c r="H12" s="4"/>
      <c r="I12" s="6"/>
      <c r="J12" s="4"/>
      <c r="K12" s="4"/>
      <c r="L12" s="6"/>
      <c r="M12" s="4"/>
    </row>
    <row r="13" spans="1:15">
      <c r="A13" s="37">
        <f>A39*1.02</f>
        <v>1020.6324000000001</v>
      </c>
      <c r="B13" s="29" t="s">
        <v>27</v>
      </c>
      <c r="C13" s="33"/>
      <c r="D13" s="32"/>
      <c r="E13" s="33"/>
      <c r="F13" s="33"/>
      <c r="H13" s="37"/>
      <c r="I13" s="37"/>
      <c r="J13" s="37"/>
      <c r="K13" s="37"/>
      <c r="L13" s="37"/>
      <c r="M13" s="37"/>
      <c r="N13" s="37"/>
      <c r="O13" s="38"/>
    </row>
    <row r="14" spans="1:15">
      <c r="A14" s="33"/>
      <c r="B14" s="33"/>
      <c r="C14" s="33"/>
      <c r="D14" s="32"/>
      <c r="E14" s="33"/>
      <c r="F14" s="33"/>
      <c r="H14" s="37"/>
      <c r="I14" s="37"/>
      <c r="J14" s="37"/>
      <c r="K14" s="37"/>
      <c r="L14" s="37"/>
      <c r="M14" s="37"/>
      <c r="N14" s="37"/>
      <c r="O14" s="38"/>
    </row>
    <row r="15" spans="1:15">
      <c r="A15" s="33"/>
      <c r="B15" s="33"/>
      <c r="C15" s="33"/>
      <c r="D15" s="32"/>
      <c r="E15" s="33"/>
      <c r="F15" s="33"/>
      <c r="H15" s="37"/>
      <c r="I15" s="37"/>
      <c r="J15" s="37"/>
      <c r="K15" s="37"/>
      <c r="L15" s="37"/>
      <c r="M15" s="37"/>
      <c r="N15" s="37"/>
      <c r="O15" s="38"/>
    </row>
    <row r="16" spans="1:15" s="44" customFormat="1" ht="13.15">
      <c r="A16" s="40" t="s">
        <v>60</v>
      </c>
      <c r="B16" s="41"/>
      <c r="C16" s="42"/>
      <c r="D16" s="41"/>
      <c r="E16" s="41"/>
      <c r="F16" s="41"/>
      <c r="G16" s="41"/>
      <c r="H16" s="41"/>
      <c r="I16" s="43"/>
      <c r="J16" s="41"/>
      <c r="K16" s="41"/>
      <c r="L16" s="43"/>
      <c r="M16" s="41"/>
    </row>
    <row r="17" spans="1:17" ht="26.65" thickBot="1">
      <c r="A17" s="34" t="s">
        <v>36</v>
      </c>
      <c r="B17" s="34" t="s">
        <v>37</v>
      </c>
      <c r="C17" s="34" t="s">
        <v>2</v>
      </c>
      <c r="D17" s="34" t="s">
        <v>38</v>
      </c>
      <c r="E17" s="34" t="s">
        <v>39</v>
      </c>
      <c r="F17" s="34" t="s">
        <v>40</v>
      </c>
      <c r="G17" s="35" t="s">
        <v>3</v>
      </c>
      <c r="H17" s="47" t="s">
        <v>66</v>
      </c>
      <c r="I17" s="36" t="s">
        <v>41</v>
      </c>
      <c r="J17" s="36" t="s">
        <v>42</v>
      </c>
      <c r="K17" s="36" t="s">
        <v>43</v>
      </c>
      <c r="L17" s="36" t="s">
        <v>44</v>
      </c>
      <c r="M17" s="36" t="s">
        <v>45</v>
      </c>
      <c r="N17" s="36" t="s">
        <v>46</v>
      </c>
      <c r="O17" s="36" t="s">
        <v>47</v>
      </c>
      <c r="P17" s="36" t="s">
        <v>61</v>
      </c>
      <c r="Q17" s="36" t="s">
        <v>56</v>
      </c>
    </row>
    <row r="18" spans="1:17" ht="13.15" thickTop="1">
      <c r="A18" s="33" t="s">
        <v>4</v>
      </c>
      <c r="B18" s="33">
        <v>6</v>
      </c>
      <c r="C18" s="33" t="s">
        <v>48</v>
      </c>
      <c r="D18" s="32" t="s">
        <v>5</v>
      </c>
      <c r="E18" s="33">
        <v>650</v>
      </c>
      <c r="F18" s="33">
        <v>14</v>
      </c>
      <c r="G18" s="19" t="s">
        <v>6</v>
      </c>
      <c r="H18" s="37">
        <f>I18*0.96</f>
        <v>76344.959999999992</v>
      </c>
      <c r="I18" s="37">
        <v>79526</v>
      </c>
      <c r="J18" s="37">
        <v>83516</v>
      </c>
      <c r="K18" s="37">
        <v>87694</v>
      </c>
      <c r="L18" s="37">
        <v>92062</v>
      </c>
      <c r="M18" s="37">
        <v>96669</v>
      </c>
      <c r="N18" s="37">
        <v>101516</v>
      </c>
      <c r="O18" s="37">
        <v>106579</v>
      </c>
      <c r="P18" s="38">
        <f t="shared" ref="P18:P29" si="0">O18*1.0188</f>
        <v>108582.68519999999</v>
      </c>
      <c r="Q18" s="38">
        <f>P18*1.02</f>
        <v>110754.33890399999</v>
      </c>
    </row>
    <row r="19" spans="1:17">
      <c r="A19" s="33" t="s">
        <v>7</v>
      </c>
      <c r="B19" s="33">
        <v>5</v>
      </c>
      <c r="C19" s="33" t="s">
        <v>48</v>
      </c>
      <c r="D19" s="32" t="s">
        <v>49</v>
      </c>
      <c r="E19" s="33">
        <v>610</v>
      </c>
      <c r="F19" s="33">
        <v>13</v>
      </c>
      <c r="G19" s="19" t="s">
        <v>6</v>
      </c>
      <c r="H19" s="37">
        <f t="shared" ref="H19:H29" si="1">I19*0.96</f>
        <v>71020.800960000008</v>
      </c>
      <c r="I19" s="37">
        <v>73980.001000000004</v>
      </c>
      <c r="J19" s="37">
        <v>77705</v>
      </c>
      <c r="K19" s="37">
        <v>81588</v>
      </c>
      <c r="L19" s="37">
        <v>85658.998999999996</v>
      </c>
      <c r="M19" s="37">
        <v>89944.998999999996</v>
      </c>
      <c r="N19" s="37">
        <v>94445</v>
      </c>
      <c r="O19" s="37">
        <v>99159</v>
      </c>
      <c r="P19" s="38">
        <f t="shared" si="0"/>
        <v>101023.18919999999</v>
      </c>
      <c r="Q19" s="38">
        <f t="shared" ref="Q19:Q29" si="2">P19*1.02</f>
        <v>103043.652984</v>
      </c>
    </row>
    <row r="20" spans="1:17">
      <c r="A20" s="33" t="s">
        <v>8</v>
      </c>
      <c r="B20" s="33">
        <v>13</v>
      </c>
      <c r="C20" s="33" t="s">
        <v>48</v>
      </c>
      <c r="D20" s="32" t="s">
        <v>50</v>
      </c>
      <c r="E20" s="33">
        <v>395</v>
      </c>
      <c r="F20" s="33">
        <v>8</v>
      </c>
      <c r="G20" s="19" t="s">
        <v>6</v>
      </c>
      <c r="H20" s="37">
        <f t="shared" si="1"/>
        <v>38500.799999999996</v>
      </c>
      <c r="I20" s="37">
        <v>40105</v>
      </c>
      <c r="J20" s="37">
        <v>42953</v>
      </c>
      <c r="K20" s="37">
        <v>45470.999000000003</v>
      </c>
      <c r="L20" s="37">
        <v>48167.999000000003</v>
      </c>
      <c r="M20" s="37">
        <v>51105.999000000003</v>
      </c>
      <c r="N20" s="37">
        <v>53951</v>
      </c>
      <c r="O20" s="37">
        <v>57877.999000000003</v>
      </c>
      <c r="P20" s="38">
        <f t="shared" si="0"/>
        <v>58966.105381200003</v>
      </c>
      <c r="Q20" s="38">
        <f t="shared" si="2"/>
        <v>60145.427488824003</v>
      </c>
    </row>
    <row r="21" spans="1:17">
      <c r="A21" s="33" t="s">
        <v>12</v>
      </c>
      <c r="B21" s="33">
        <v>5</v>
      </c>
      <c r="C21" s="33" t="s">
        <v>48</v>
      </c>
      <c r="D21" s="32" t="s">
        <v>51</v>
      </c>
      <c r="E21" s="33">
        <v>600</v>
      </c>
      <c r="F21" s="33">
        <v>13</v>
      </c>
      <c r="G21" s="19" t="s">
        <v>6</v>
      </c>
      <c r="H21" s="37">
        <f t="shared" si="1"/>
        <v>71020.800960000008</v>
      </c>
      <c r="I21" s="37">
        <v>73980.001000000004</v>
      </c>
      <c r="J21" s="37">
        <v>77705</v>
      </c>
      <c r="K21" s="37">
        <v>81588</v>
      </c>
      <c r="L21" s="37">
        <v>85658.998999999996</v>
      </c>
      <c r="M21" s="37">
        <v>89944.998999999996</v>
      </c>
      <c r="N21" s="37">
        <v>94445</v>
      </c>
      <c r="O21" s="37">
        <v>99159</v>
      </c>
      <c r="P21" s="38">
        <f t="shared" si="0"/>
        <v>101023.18919999999</v>
      </c>
      <c r="Q21" s="38">
        <f t="shared" si="2"/>
        <v>103043.652984</v>
      </c>
    </row>
    <row r="22" spans="1:17">
      <c r="A22" s="33" t="s">
        <v>13</v>
      </c>
      <c r="B22" s="33">
        <v>1</v>
      </c>
      <c r="C22" s="33" t="s">
        <v>48</v>
      </c>
      <c r="D22" s="32" t="s">
        <v>14</v>
      </c>
      <c r="E22" s="33">
        <v>470</v>
      </c>
      <c r="F22" s="33">
        <v>10</v>
      </c>
      <c r="G22" s="19" t="s">
        <v>6</v>
      </c>
      <c r="H22" s="37">
        <f t="shared" si="1"/>
        <v>54976.320959999997</v>
      </c>
      <c r="I22" s="37">
        <v>57267.000999999997</v>
      </c>
      <c r="J22" s="37">
        <v>60133</v>
      </c>
      <c r="K22" s="37">
        <v>63134.000999999997</v>
      </c>
      <c r="L22" s="37">
        <v>66293.998999999996</v>
      </c>
      <c r="M22" s="37">
        <v>69616</v>
      </c>
      <c r="N22" s="37">
        <v>73098</v>
      </c>
      <c r="O22" s="37">
        <v>76741.001000000004</v>
      </c>
      <c r="P22" s="38">
        <f t="shared" si="0"/>
        <v>78183.731818799992</v>
      </c>
      <c r="Q22" s="38">
        <f t="shared" si="2"/>
        <v>79747.406455175995</v>
      </c>
    </row>
    <row r="23" spans="1:17">
      <c r="A23" s="33" t="s">
        <v>9</v>
      </c>
      <c r="B23" s="33">
        <v>4</v>
      </c>
      <c r="C23" s="33" t="s">
        <v>48</v>
      </c>
      <c r="D23" s="32" t="s">
        <v>52</v>
      </c>
      <c r="E23" s="33">
        <v>578</v>
      </c>
      <c r="F23" s="33">
        <v>12</v>
      </c>
      <c r="G23" s="19" t="s">
        <v>6</v>
      </c>
      <c r="H23" s="37">
        <f t="shared" si="1"/>
        <v>67318.080000000002</v>
      </c>
      <c r="I23" s="37">
        <v>70123</v>
      </c>
      <c r="J23" s="37">
        <v>73633.998999999996</v>
      </c>
      <c r="K23" s="37">
        <v>77302</v>
      </c>
      <c r="L23" s="37">
        <v>81160</v>
      </c>
      <c r="M23" s="37">
        <v>85230.998999999996</v>
      </c>
      <c r="N23" s="37">
        <v>89489.998999999996</v>
      </c>
      <c r="O23" s="37">
        <v>93961.998999999996</v>
      </c>
      <c r="P23" s="38">
        <f t="shared" si="0"/>
        <v>95728.484581199984</v>
      </c>
      <c r="Q23" s="38">
        <f t="shared" si="2"/>
        <v>97643.054272823982</v>
      </c>
    </row>
    <row r="24" spans="1:17">
      <c r="A24" s="33" t="s">
        <v>10</v>
      </c>
      <c r="B24" s="33">
        <v>1</v>
      </c>
      <c r="C24" s="33" t="s">
        <v>48</v>
      </c>
      <c r="D24" s="32" t="s">
        <v>53</v>
      </c>
      <c r="E24" s="33">
        <v>485</v>
      </c>
      <c r="F24" s="33">
        <v>10</v>
      </c>
      <c r="G24" s="19" t="s">
        <v>6</v>
      </c>
      <c r="H24" s="37">
        <f t="shared" si="1"/>
        <v>54976.320959999997</v>
      </c>
      <c r="I24" s="37">
        <v>57267.000999999997</v>
      </c>
      <c r="J24" s="37">
        <v>60133</v>
      </c>
      <c r="K24" s="37">
        <v>63134.000999999997</v>
      </c>
      <c r="L24" s="37">
        <v>66293.998999999996</v>
      </c>
      <c r="M24" s="37">
        <v>69616</v>
      </c>
      <c r="N24" s="37">
        <v>73098</v>
      </c>
      <c r="O24" s="37">
        <v>76741.001000000004</v>
      </c>
      <c r="P24" s="38">
        <f t="shared" si="0"/>
        <v>78183.731818799992</v>
      </c>
      <c r="Q24" s="38">
        <f t="shared" si="2"/>
        <v>79747.406455175995</v>
      </c>
    </row>
    <row r="25" spans="1:17">
      <c r="A25" s="33" t="s">
        <v>11</v>
      </c>
      <c r="B25" s="33">
        <v>2</v>
      </c>
      <c r="C25" s="33" t="s">
        <v>48</v>
      </c>
      <c r="D25" s="32" t="s">
        <v>54</v>
      </c>
      <c r="E25" s="33">
        <v>523</v>
      </c>
      <c r="F25" s="33">
        <v>11</v>
      </c>
      <c r="G25" s="19" t="s">
        <v>6</v>
      </c>
      <c r="H25" s="37">
        <f t="shared" si="1"/>
        <v>61199.039040000003</v>
      </c>
      <c r="I25" s="37">
        <v>63748.999000000003</v>
      </c>
      <c r="J25" s="37">
        <v>66938</v>
      </c>
      <c r="K25" s="37">
        <v>70283.998999999996</v>
      </c>
      <c r="L25" s="37">
        <v>73794.998999999996</v>
      </c>
      <c r="M25" s="37">
        <v>77489.998999999996</v>
      </c>
      <c r="N25" s="37">
        <v>81346.998999999996</v>
      </c>
      <c r="O25" s="37">
        <v>85419</v>
      </c>
      <c r="P25" s="38">
        <f t="shared" si="0"/>
        <v>87024.877199999988</v>
      </c>
      <c r="Q25" s="38">
        <f t="shared" si="2"/>
        <v>88765.374743999986</v>
      </c>
    </row>
    <row r="26" spans="1:17">
      <c r="A26" s="33" t="s">
        <v>15</v>
      </c>
      <c r="B26" s="33">
        <v>5</v>
      </c>
      <c r="C26" s="33" t="s">
        <v>48</v>
      </c>
      <c r="D26" s="32" t="s">
        <v>55</v>
      </c>
      <c r="E26" s="33">
        <v>600</v>
      </c>
      <c r="F26" s="33">
        <v>13</v>
      </c>
      <c r="G26" s="19" t="s">
        <v>6</v>
      </c>
      <c r="H26" s="37">
        <f t="shared" si="1"/>
        <v>71020.800960000008</v>
      </c>
      <c r="I26" s="37">
        <v>73980.001000000004</v>
      </c>
      <c r="J26" s="37">
        <v>77705</v>
      </c>
      <c r="K26" s="37">
        <v>81588</v>
      </c>
      <c r="L26" s="37">
        <v>85658.998999999996</v>
      </c>
      <c r="M26" s="37">
        <v>89944.998999999996</v>
      </c>
      <c r="N26" s="37">
        <v>94445</v>
      </c>
      <c r="O26" s="37">
        <v>99159</v>
      </c>
      <c r="P26" s="38">
        <f t="shared" si="0"/>
        <v>101023.18919999999</v>
      </c>
      <c r="Q26" s="38">
        <f t="shared" si="2"/>
        <v>103043.652984</v>
      </c>
    </row>
    <row r="27" spans="1:17">
      <c r="A27" s="33" t="s">
        <v>16</v>
      </c>
      <c r="B27" s="33">
        <v>5</v>
      </c>
      <c r="C27" s="33" t="s">
        <v>48</v>
      </c>
      <c r="D27" s="32" t="s">
        <v>17</v>
      </c>
      <c r="E27" s="33">
        <v>625</v>
      </c>
      <c r="F27" s="33">
        <v>13</v>
      </c>
      <c r="G27" s="19" t="s">
        <v>6</v>
      </c>
      <c r="H27" s="37">
        <f t="shared" si="1"/>
        <v>71020.800960000008</v>
      </c>
      <c r="I27" s="37">
        <v>73980.001000000004</v>
      </c>
      <c r="J27" s="37">
        <v>77705</v>
      </c>
      <c r="K27" s="37">
        <v>81588</v>
      </c>
      <c r="L27" s="37">
        <v>85658.998999999996</v>
      </c>
      <c r="M27" s="37">
        <v>89944.998999999996</v>
      </c>
      <c r="N27" s="37">
        <v>94445</v>
      </c>
      <c r="O27" s="37">
        <v>99159</v>
      </c>
      <c r="P27" s="38">
        <f t="shared" si="0"/>
        <v>101023.18919999999</v>
      </c>
      <c r="Q27" s="38">
        <f t="shared" si="2"/>
        <v>103043.652984</v>
      </c>
    </row>
    <row r="28" spans="1:17">
      <c r="A28" s="33" t="s">
        <v>18</v>
      </c>
      <c r="B28" s="33">
        <v>5</v>
      </c>
      <c r="C28" s="33" t="s">
        <v>48</v>
      </c>
      <c r="D28" s="32" t="s">
        <v>19</v>
      </c>
      <c r="E28" s="33">
        <v>588</v>
      </c>
      <c r="F28" s="33">
        <v>13</v>
      </c>
      <c r="G28" s="19" t="s">
        <v>6</v>
      </c>
      <c r="H28" s="37">
        <f t="shared" si="1"/>
        <v>71020.800960000008</v>
      </c>
      <c r="I28" s="37">
        <v>73980.001000000004</v>
      </c>
      <c r="J28" s="37">
        <v>77705</v>
      </c>
      <c r="K28" s="37">
        <v>81588</v>
      </c>
      <c r="L28" s="37">
        <v>85658.998999999996</v>
      </c>
      <c r="M28" s="37">
        <v>89944.998999999996</v>
      </c>
      <c r="N28" s="37">
        <v>94445</v>
      </c>
      <c r="O28" s="37">
        <v>99159</v>
      </c>
      <c r="P28" s="38">
        <f t="shared" si="0"/>
        <v>101023.18919999999</v>
      </c>
      <c r="Q28" s="38">
        <f t="shared" si="2"/>
        <v>103043.652984</v>
      </c>
    </row>
    <row r="29" spans="1:17">
      <c r="A29" s="33" t="s">
        <v>20</v>
      </c>
      <c r="B29" s="33">
        <v>5</v>
      </c>
      <c r="C29" s="33" t="s">
        <v>48</v>
      </c>
      <c r="D29" s="32" t="s">
        <v>21</v>
      </c>
      <c r="E29" s="33">
        <v>610</v>
      </c>
      <c r="F29" s="33">
        <v>13</v>
      </c>
      <c r="G29" s="19" t="s">
        <v>6</v>
      </c>
      <c r="H29" s="37">
        <f t="shared" si="1"/>
        <v>71020.800960000008</v>
      </c>
      <c r="I29" s="37">
        <v>73980.001000000004</v>
      </c>
      <c r="J29" s="37">
        <v>77705</v>
      </c>
      <c r="K29" s="37">
        <v>81588</v>
      </c>
      <c r="L29" s="37">
        <v>85658.998999999996</v>
      </c>
      <c r="M29" s="37">
        <v>89944.998999999996</v>
      </c>
      <c r="N29" s="37">
        <v>94445</v>
      </c>
      <c r="O29" s="37">
        <v>99159</v>
      </c>
      <c r="P29" s="38">
        <f t="shared" si="0"/>
        <v>101023.18919999999</v>
      </c>
      <c r="Q29" s="38">
        <f t="shared" si="2"/>
        <v>103043.652984</v>
      </c>
    </row>
    <row r="30" spans="1:17">
      <c r="A30" s="33"/>
      <c r="B30" s="33"/>
      <c r="C30" s="33"/>
      <c r="D30" s="32"/>
      <c r="E30" s="33"/>
      <c r="F30" s="33"/>
      <c r="H30" s="37"/>
      <c r="I30" s="37"/>
      <c r="J30" s="37"/>
      <c r="K30" s="37"/>
      <c r="L30" s="37"/>
      <c r="M30" s="37"/>
      <c r="N30" s="37"/>
      <c r="O30" s="38"/>
    </row>
    <row r="31" spans="1:17">
      <c r="A31" s="21" t="s">
        <v>58</v>
      </c>
      <c r="G31" s="25"/>
      <c r="H31" s="25"/>
      <c r="I31" s="25"/>
      <c r="J31" s="25"/>
      <c r="K31" s="25"/>
      <c r="L31" s="25"/>
      <c r="M31" s="25"/>
    </row>
    <row r="32" spans="1:17">
      <c r="A32" s="39" t="s">
        <v>57</v>
      </c>
    </row>
    <row r="33" spans="1:24" ht="8.25" customHeight="1"/>
    <row r="34" spans="1:24" hidden="1">
      <c r="A34" s="8" t="s">
        <v>22</v>
      </c>
      <c r="B34" s="7"/>
      <c r="C34" s="26"/>
      <c r="D34" s="9"/>
      <c r="E34" s="10"/>
      <c r="F34" s="11"/>
      <c r="G34" s="11"/>
      <c r="H34" s="12"/>
      <c r="I34" s="12"/>
      <c r="J34" s="26"/>
      <c r="K34" s="26"/>
    </row>
    <row r="35" spans="1:24" hidden="1">
      <c r="A35" s="13" t="s">
        <v>23</v>
      </c>
      <c r="B35" s="7"/>
      <c r="C35" s="26"/>
      <c r="D35" s="14"/>
      <c r="E35" s="15"/>
      <c r="F35" s="16"/>
      <c r="G35" s="16"/>
      <c r="H35" s="17"/>
      <c r="I35" s="17"/>
      <c r="J35" s="26"/>
      <c r="K35" s="26"/>
    </row>
    <row r="36" spans="1:24" hidden="1">
      <c r="A36" s="37">
        <f>X36*1.02</f>
        <v>498.78000000000003</v>
      </c>
      <c r="B36" s="27" t="s">
        <v>24</v>
      </c>
      <c r="C36" s="26"/>
      <c r="D36" s="7"/>
      <c r="E36" s="28"/>
      <c r="F36" s="28"/>
      <c r="G36" s="28"/>
      <c r="H36" s="21"/>
      <c r="I36" s="22"/>
      <c r="J36" s="26"/>
      <c r="K36" s="26"/>
      <c r="X36" s="18">
        <v>489</v>
      </c>
    </row>
    <row r="37" spans="1:24" hidden="1">
      <c r="A37" s="37">
        <f>X37*1.02</f>
        <v>699.72</v>
      </c>
      <c r="B37" s="27" t="s">
        <v>25</v>
      </c>
      <c r="C37" s="26"/>
      <c r="D37" s="7"/>
      <c r="E37" s="28"/>
      <c r="F37" s="28"/>
      <c r="G37" s="28"/>
      <c r="H37" s="21"/>
      <c r="I37" s="22"/>
      <c r="J37" s="26"/>
      <c r="K37" s="26"/>
      <c r="X37" s="18">
        <v>686</v>
      </c>
    </row>
    <row r="38" spans="1:24" hidden="1">
      <c r="A38" s="37">
        <f>X38*1.02</f>
        <v>848.64</v>
      </c>
      <c r="B38" s="29" t="s">
        <v>26</v>
      </c>
      <c r="C38" s="26"/>
      <c r="D38" s="7"/>
      <c r="E38" s="22"/>
      <c r="F38" s="22"/>
      <c r="G38" s="22"/>
      <c r="H38" s="21"/>
      <c r="I38" s="22"/>
      <c r="J38" s="26"/>
      <c r="K38" s="26"/>
      <c r="X38" s="18">
        <v>832</v>
      </c>
    </row>
    <row r="39" spans="1:24" hidden="1">
      <c r="A39" s="37">
        <f>X39*1.02</f>
        <v>1000.62</v>
      </c>
      <c r="B39" s="29" t="s">
        <v>27</v>
      </c>
      <c r="C39" s="26"/>
      <c r="D39" s="7"/>
      <c r="E39" s="22"/>
      <c r="F39" s="22"/>
      <c r="G39" s="22"/>
      <c r="H39" s="21"/>
      <c r="I39" s="21"/>
      <c r="J39" s="26"/>
      <c r="K39" s="26"/>
      <c r="X39" s="18">
        <v>981</v>
      </c>
    </row>
    <row r="40" spans="1:24" ht="8.25" customHeight="1">
      <c r="A40" s="24"/>
      <c r="B40" s="7"/>
      <c r="C40" s="26"/>
      <c r="D40" s="7"/>
      <c r="E40" s="22"/>
      <c r="F40" s="22"/>
      <c r="G40" s="22"/>
      <c r="H40" s="22"/>
      <c r="I40" s="23"/>
      <c r="J40" s="26"/>
      <c r="K40" s="26"/>
    </row>
    <row r="41" spans="1:24" ht="13.15">
      <c r="A41" s="30" t="s">
        <v>28</v>
      </c>
    </row>
    <row r="42" spans="1:24">
      <c r="A42" s="31" t="s">
        <v>29</v>
      </c>
      <c r="B42" s="7"/>
      <c r="C42" s="26"/>
      <c r="D42" s="26"/>
      <c r="E42" s="26"/>
      <c r="F42" s="26"/>
      <c r="G42" s="26"/>
      <c r="H42" s="26"/>
      <c r="I42" s="26"/>
      <c r="J42" s="26"/>
      <c r="K42" s="26"/>
    </row>
    <row r="43" spans="1:24">
      <c r="A43" s="19" t="s">
        <v>30</v>
      </c>
    </row>
    <row r="44" spans="1:24">
      <c r="A44" s="19" t="s">
        <v>31</v>
      </c>
    </row>
    <row r="46" spans="1:24" ht="13.15">
      <c r="A46" s="30" t="s">
        <v>32</v>
      </c>
    </row>
    <row r="47" spans="1:24">
      <c r="A47" s="19" t="s">
        <v>33</v>
      </c>
    </row>
    <row r="48" spans="1:24">
      <c r="A48" s="26" t="s">
        <v>34</v>
      </c>
    </row>
    <row r="52" spans="1:16" s="44" customFormat="1" ht="13.15">
      <c r="A52" s="40" t="s">
        <v>63</v>
      </c>
      <c r="B52" s="41"/>
      <c r="C52" s="42"/>
      <c r="D52" s="41"/>
      <c r="E52" s="41"/>
      <c r="F52" s="41"/>
      <c r="G52" s="41"/>
      <c r="H52" s="41"/>
      <c r="I52" s="43"/>
      <c r="J52" s="41"/>
      <c r="K52" s="41"/>
      <c r="L52" s="43"/>
      <c r="M52" s="41"/>
    </row>
    <row r="53" spans="1:16" ht="26.65" thickBot="1">
      <c r="A53" s="34" t="s">
        <v>36</v>
      </c>
      <c r="B53" s="34" t="s">
        <v>37</v>
      </c>
      <c r="C53" s="34" t="s">
        <v>2</v>
      </c>
      <c r="D53" s="34" t="s">
        <v>38</v>
      </c>
      <c r="E53" s="34" t="s">
        <v>39</v>
      </c>
      <c r="F53" s="34" t="s">
        <v>40</v>
      </c>
      <c r="G53" s="35" t="s">
        <v>3</v>
      </c>
      <c r="H53" s="47" t="s">
        <v>66</v>
      </c>
      <c r="I53" s="36" t="s">
        <v>41</v>
      </c>
      <c r="J53" s="36" t="s">
        <v>42</v>
      </c>
      <c r="K53" s="36" t="s">
        <v>43</v>
      </c>
      <c r="L53" s="36" t="s">
        <v>44</v>
      </c>
      <c r="M53" s="36" t="s">
        <v>45</v>
      </c>
      <c r="N53" s="36" t="s">
        <v>46</v>
      </c>
      <c r="O53" s="36" t="s">
        <v>47</v>
      </c>
      <c r="P53" s="45"/>
    </row>
    <row r="54" spans="1:16" ht="13.15" thickTop="1">
      <c r="A54" s="33" t="s">
        <v>4</v>
      </c>
      <c r="B54" s="33">
        <v>6</v>
      </c>
      <c r="C54" s="33" t="s">
        <v>48</v>
      </c>
      <c r="D54" s="32" t="s">
        <v>5</v>
      </c>
      <c r="E54" s="33">
        <v>650</v>
      </c>
      <c r="F54" s="33">
        <v>14</v>
      </c>
      <c r="G54" s="19" t="s">
        <v>6</v>
      </c>
      <c r="H54" s="37">
        <f t="shared" ref="H54:H65" si="3">I54*0.96</f>
        <v>80175.360000000001</v>
      </c>
      <c r="I54" s="37">
        <v>83516</v>
      </c>
      <c r="J54" s="37">
        <v>87694</v>
      </c>
      <c r="K54" s="37">
        <v>92062</v>
      </c>
      <c r="L54" s="37">
        <v>96669</v>
      </c>
      <c r="M54" s="37">
        <v>101516</v>
      </c>
      <c r="N54" s="37">
        <v>106579</v>
      </c>
      <c r="O54" s="38">
        <v>110754.33890399999</v>
      </c>
    </row>
    <row r="55" spans="1:16">
      <c r="A55" s="33" t="s">
        <v>7</v>
      </c>
      <c r="B55" s="33">
        <v>5</v>
      </c>
      <c r="C55" s="33" t="s">
        <v>48</v>
      </c>
      <c r="D55" s="32" t="s">
        <v>49</v>
      </c>
      <c r="E55" s="33">
        <v>610</v>
      </c>
      <c r="F55" s="33">
        <v>13</v>
      </c>
      <c r="G55" s="19" t="s">
        <v>6</v>
      </c>
      <c r="H55" s="37">
        <f t="shared" si="3"/>
        <v>74596.800000000003</v>
      </c>
      <c r="I55" s="37">
        <v>77705</v>
      </c>
      <c r="J55" s="37">
        <v>81588</v>
      </c>
      <c r="K55" s="37">
        <v>85658.998999999996</v>
      </c>
      <c r="L55" s="37">
        <v>89944.998999999996</v>
      </c>
      <c r="M55" s="37">
        <v>94445</v>
      </c>
      <c r="N55" s="37">
        <v>99159</v>
      </c>
      <c r="O55" s="38">
        <v>103043.652984</v>
      </c>
    </row>
    <row r="56" spans="1:16">
      <c r="A56" s="33" t="s">
        <v>8</v>
      </c>
      <c r="B56" s="33">
        <v>13</v>
      </c>
      <c r="C56" s="33" t="s">
        <v>48</v>
      </c>
      <c r="D56" s="32" t="s">
        <v>50</v>
      </c>
      <c r="E56" s="33">
        <v>395</v>
      </c>
      <c r="F56" s="33">
        <v>8</v>
      </c>
      <c r="G56" s="19" t="s">
        <v>6</v>
      </c>
      <c r="H56" s="37">
        <f t="shared" si="3"/>
        <v>41234.879999999997</v>
      </c>
      <c r="I56" s="37">
        <v>42953</v>
      </c>
      <c r="J56" s="37">
        <v>45470.999000000003</v>
      </c>
      <c r="K56" s="37">
        <v>48167.999000000003</v>
      </c>
      <c r="L56" s="37">
        <v>51105.999000000003</v>
      </c>
      <c r="M56" s="37">
        <v>53951</v>
      </c>
      <c r="N56" s="37">
        <v>57877.999000000003</v>
      </c>
      <c r="O56" s="38">
        <v>60145.427488824003</v>
      </c>
    </row>
    <row r="57" spans="1:16">
      <c r="A57" s="33" t="s">
        <v>12</v>
      </c>
      <c r="B57" s="33">
        <v>5</v>
      </c>
      <c r="C57" s="33" t="s">
        <v>48</v>
      </c>
      <c r="D57" s="32" t="s">
        <v>51</v>
      </c>
      <c r="E57" s="33">
        <v>600</v>
      </c>
      <c r="F57" s="33">
        <v>13</v>
      </c>
      <c r="G57" s="19" t="s">
        <v>6</v>
      </c>
      <c r="H57" s="37">
        <f t="shared" si="3"/>
        <v>74596.800000000003</v>
      </c>
      <c r="I57" s="37">
        <v>77705</v>
      </c>
      <c r="J57" s="37">
        <v>81588</v>
      </c>
      <c r="K57" s="37">
        <v>85658.998999999996</v>
      </c>
      <c r="L57" s="37">
        <v>89944.998999999996</v>
      </c>
      <c r="M57" s="37">
        <v>94445</v>
      </c>
      <c r="N57" s="37">
        <v>99159</v>
      </c>
      <c r="O57" s="38">
        <v>103043.652984</v>
      </c>
    </row>
    <row r="58" spans="1:16">
      <c r="A58" s="33" t="s">
        <v>13</v>
      </c>
      <c r="B58" s="33">
        <v>1</v>
      </c>
      <c r="C58" s="33" t="s">
        <v>48</v>
      </c>
      <c r="D58" s="32" t="s">
        <v>14</v>
      </c>
      <c r="E58" s="33">
        <v>470</v>
      </c>
      <c r="F58" s="33">
        <v>10</v>
      </c>
      <c r="G58" s="19" t="s">
        <v>6</v>
      </c>
      <c r="H58" s="37">
        <f t="shared" si="3"/>
        <v>57727.68</v>
      </c>
      <c r="I58" s="37">
        <v>60133</v>
      </c>
      <c r="J58" s="37">
        <v>63134.000999999997</v>
      </c>
      <c r="K58" s="37">
        <v>66293.998999999996</v>
      </c>
      <c r="L58" s="37">
        <v>69616</v>
      </c>
      <c r="M58" s="37">
        <v>73098</v>
      </c>
      <c r="N58" s="37">
        <v>76741.001000000004</v>
      </c>
      <c r="O58" s="38">
        <v>79747.406455175995</v>
      </c>
    </row>
    <row r="59" spans="1:16">
      <c r="A59" s="33" t="s">
        <v>9</v>
      </c>
      <c r="B59" s="33">
        <v>4</v>
      </c>
      <c r="C59" s="33" t="s">
        <v>48</v>
      </c>
      <c r="D59" s="32" t="s">
        <v>52</v>
      </c>
      <c r="E59" s="33">
        <v>578</v>
      </c>
      <c r="F59" s="33">
        <v>12</v>
      </c>
      <c r="G59" s="19" t="s">
        <v>6</v>
      </c>
      <c r="H59" s="37">
        <f t="shared" si="3"/>
        <v>70688.639039999995</v>
      </c>
      <c r="I59" s="37">
        <v>73633.998999999996</v>
      </c>
      <c r="J59" s="37">
        <v>77302</v>
      </c>
      <c r="K59" s="37">
        <v>81160</v>
      </c>
      <c r="L59" s="37">
        <v>85230.998999999996</v>
      </c>
      <c r="M59" s="37">
        <v>89489.998999999996</v>
      </c>
      <c r="N59" s="37">
        <v>93961.998999999996</v>
      </c>
      <c r="O59" s="38">
        <v>97643.054272823982</v>
      </c>
    </row>
    <row r="60" spans="1:16">
      <c r="A60" s="33" t="s">
        <v>10</v>
      </c>
      <c r="B60" s="33">
        <v>1</v>
      </c>
      <c r="C60" s="33" t="s">
        <v>48</v>
      </c>
      <c r="D60" s="32" t="s">
        <v>53</v>
      </c>
      <c r="E60" s="33">
        <v>485</v>
      </c>
      <c r="F60" s="33">
        <v>10</v>
      </c>
      <c r="G60" s="19" t="s">
        <v>6</v>
      </c>
      <c r="H60" s="37">
        <f t="shared" si="3"/>
        <v>57727.68</v>
      </c>
      <c r="I60" s="37">
        <v>60133</v>
      </c>
      <c r="J60" s="37">
        <v>63134.000999999997</v>
      </c>
      <c r="K60" s="37">
        <v>66293.998999999996</v>
      </c>
      <c r="L60" s="37">
        <v>69616</v>
      </c>
      <c r="M60" s="37">
        <v>73098</v>
      </c>
      <c r="N60" s="37">
        <v>76741.001000000004</v>
      </c>
      <c r="O60" s="38">
        <v>79747.406455175995</v>
      </c>
    </row>
    <row r="61" spans="1:16">
      <c r="A61" s="33" t="s">
        <v>11</v>
      </c>
      <c r="B61" s="33">
        <v>2</v>
      </c>
      <c r="C61" s="33" t="s">
        <v>48</v>
      </c>
      <c r="D61" s="32" t="s">
        <v>54</v>
      </c>
      <c r="E61" s="33">
        <v>523</v>
      </c>
      <c r="F61" s="33">
        <v>11</v>
      </c>
      <c r="G61" s="19" t="s">
        <v>6</v>
      </c>
      <c r="H61" s="37">
        <f t="shared" si="3"/>
        <v>64260.479999999996</v>
      </c>
      <c r="I61" s="37">
        <v>66938</v>
      </c>
      <c r="J61" s="37">
        <v>70283.998999999996</v>
      </c>
      <c r="K61" s="37">
        <v>73794.998999999996</v>
      </c>
      <c r="L61" s="37">
        <v>77489.998999999996</v>
      </c>
      <c r="M61" s="37">
        <v>81346.998999999996</v>
      </c>
      <c r="N61" s="37">
        <v>85419</v>
      </c>
      <c r="O61" s="38">
        <v>88765.374743999986</v>
      </c>
    </row>
    <row r="62" spans="1:16">
      <c r="A62" s="33" t="s">
        <v>15</v>
      </c>
      <c r="B62" s="33">
        <v>5</v>
      </c>
      <c r="C62" s="33" t="s">
        <v>48</v>
      </c>
      <c r="D62" s="32" t="s">
        <v>55</v>
      </c>
      <c r="E62" s="33">
        <v>600</v>
      </c>
      <c r="F62" s="33">
        <v>13</v>
      </c>
      <c r="G62" s="19" t="s">
        <v>6</v>
      </c>
      <c r="H62" s="37">
        <f t="shared" si="3"/>
        <v>74596.800000000003</v>
      </c>
      <c r="I62" s="37">
        <v>77705</v>
      </c>
      <c r="J62" s="37">
        <v>81588</v>
      </c>
      <c r="K62" s="37">
        <v>85658.998999999996</v>
      </c>
      <c r="L62" s="37">
        <v>89944.998999999996</v>
      </c>
      <c r="M62" s="37">
        <v>94445</v>
      </c>
      <c r="N62" s="37">
        <v>99159</v>
      </c>
      <c r="O62" s="38">
        <v>103043.652984</v>
      </c>
    </row>
    <row r="63" spans="1:16">
      <c r="A63" s="33" t="s">
        <v>16</v>
      </c>
      <c r="B63" s="33">
        <v>5</v>
      </c>
      <c r="C63" s="33" t="s">
        <v>48</v>
      </c>
      <c r="D63" s="32" t="s">
        <v>17</v>
      </c>
      <c r="E63" s="33">
        <v>625</v>
      </c>
      <c r="F63" s="33">
        <v>13</v>
      </c>
      <c r="G63" s="19" t="s">
        <v>6</v>
      </c>
      <c r="H63" s="37">
        <f t="shared" si="3"/>
        <v>74596.800000000003</v>
      </c>
      <c r="I63" s="37">
        <v>77705</v>
      </c>
      <c r="J63" s="37">
        <v>81588</v>
      </c>
      <c r="K63" s="37">
        <v>85658.998999999996</v>
      </c>
      <c r="L63" s="37">
        <v>89944.998999999996</v>
      </c>
      <c r="M63" s="37">
        <v>94445</v>
      </c>
      <c r="N63" s="37">
        <v>99159</v>
      </c>
      <c r="O63" s="38">
        <v>103043.652984</v>
      </c>
    </row>
    <row r="64" spans="1:16">
      <c r="A64" s="33" t="s">
        <v>18</v>
      </c>
      <c r="B64" s="33">
        <v>5</v>
      </c>
      <c r="C64" s="33" t="s">
        <v>48</v>
      </c>
      <c r="D64" s="32" t="s">
        <v>19</v>
      </c>
      <c r="E64" s="33">
        <v>588</v>
      </c>
      <c r="F64" s="33">
        <v>13</v>
      </c>
      <c r="G64" s="19" t="s">
        <v>6</v>
      </c>
      <c r="H64" s="37">
        <f t="shared" si="3"/>
        <v>74596.800000000003</v>
      </c>
      <c r="I64" s="37">
        <v>77705</v>
      </c>
      <c r="J64" s="37">
        <v>81588</v>
      </c>
      <c r="K64" s="37">
        <v>85658.998999999996</v>
      </c>
      <c r="L64" s="37">
        <v>89944.998999999996</v>
      </c>
      <c r="M64" s="37">
        <v>94445</v>
      </c>
      <c r="N64" s="37">
        <v>99159</v>
      </c>
      <c r="O64" s="38">
        <v>103043.652984</v>
      </c>
    </row>
    <row r="65" spans="1:15">
      <c r="A65" s="33" t="s">
        <v>20</v>
      </c>
      <c r="B65" s="33">
        <v>5</v>
      </c>
      <c r="C65" s="33" t="s">
        <v>48</v>
      </c>
      <c r="D65" s="32" t="s">
        <v>21</v>
      </c>
      <c r="E65" s="33">
        <v>610</v>
      </c>
      <c r="F65" s="33">
        <v>13</v>
      </c>
      <c r="G65" s="19" t="s">
        <v>6</v>
      </c>
      <c r="H65" s="37">
        <f t="shared" si="3"/>
        <v>74596.800000000003</v>
      </c>
      <c r="I65" s="37">
        <v>77705</v>
      </c>
      <c r="J65" s="37">
        <v>81588</v>
      </c>
      <c r="K65" s="37">
        <v>85658.998999999996</v>
      </c>
      <c r="L65" s="37">
        <v>89944.998999999996</v>
      </c>
      <c r="M65" s="37">
        <v>94445</v>
      </c>
      <c r="N65" s="37">
        <v>99159</v>
      </c>
      <c r="O65" s="38">
        <v>103043.652984</v>
      </c>
    </row>
    <row r="66" spans="1:15">
      <c r="A66" s="33"/>
      <c r="B66" s="33"/>
      <c r="C66" s="33"/>
      <c r="D66" s="32"/>
      <c r="E66" s="33"/>
      <c r="F66" s="33"/>
      <c r="H66" s="37"/>
      <c r="I66" s="37"/>
      <c r="J66" s="37"/>
      <c r="K66" s="37"/>
      <c r="L66" s="37"/>
      <c r="M66" s="37"/>
      <c r="N66" s="37"/>
      <c r="O66" s="38"/>
    </row>
    <row r="67" spans="1:15">
      <c r="A67" s="46" t="s">
        <v>64</v>
      </c>
    </row>
    <row r="68" spans="1:15">
      <c r="A68" s="46" t="s">
        <v>65</v>
      </c>
    </row>
  </sheetData>
  <mergeCells count="1">
    <mergeCell ref="A1:M1"/>
  </mergeCells>
  <phoneticPr fontId="0" type="noConversion"/>
  <pageMargins left="0.25" right="0.25" top="1" bottom="0.5" header="0.5" footer="0.5"/>
  <pageSetup orientation="landscape" r:id="rId1"/>
  <headerFooter alignWithMargins="0"/>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theme="1"/>
  </sheetPr>
  <dimension ref="A1:Y32"/>
  <sheetViews>
    <sheetView showGridLines="0" zoomScaleNormal="100" workbookViewId="0">
      <selection activeCell="D13" sqref="D13"/>
    </sheetView>
  </sheetViews>
  <sheetFormatPr defaultColWidth="9.265625" defaultRowHeight="13.15"/>
  <cols>
    <col min="1" max="1" width="13.3984375" style="93" customWidth="1"/>
    <col min="2" max="2" width="8.73046875" style="112" customWidth="1"/>
    <col min="3" max="3" width="9.3984375" style="93" customWidth="1"/>
    <col min="4" max="4" width="38" style="93" customWidth="1"/>
    <col min="5" max="5" width="5.265625" style="93" hidden="1" customWidth="1"/>
    <col min="6" max="6" width="6.265625" style="93" customWidth="1"/>
    <col min="7" max="7" width="4.73046875" style="93" bestFit="1" customWidth="1"/>
    <col min="8" max="8" width="11.73046875" style="93" customWidth="1"/>
    <col min="9" max="9" width="10.265625" style="93" customWidth="1"/>
    <col min="10" max="10" width="9.73046875" style="93" customWidth="1"/>
    <col min="11" max="12" width="10.59765625" style="93" customWidth="1"/>
    <col min="13" max="13" width="10" style="93" bestFit="1" customWidth="1"/>
    <col min="14" max="14" width="9.265625" style="93" customWidth="1"/>
    <col min="15" max="15" width="7" style="162" hidden="1" customWidth="1"/>
    <col min="16" max="16" width="7.59765625" style="162" hidden="1" customWidth="1"/>
    <col min="17" max="17" width="0" style="162" hidden="1" customWidth="1"/>
    <col min="18" max="18" width="23.73046875" style="170" hidden="1" customWidth="1"/>
    <col min="19" max="19" width="0" style="170" hidden="1" customWidth="1"/>
    <col min="20" max="25" width="0" style="162" hidden="1" customWidth="1"/>
    <col min="26" max="16384" width="9.265625" style="93"/>
  </cols>
  <sheetData>
    <row r="1" spans="1:25" ht="21">
      <c r="A1" s="187" t="s">
        <v>0</v>
      </c>
      <c r="B1" s="187"/>
      <c r="C1" s="187"/>
      <c r="D1" s="187"/>
      <c r="E1" s="187"/>
      <c r="F1" s="187"/>
      <c r="G1" s="187"/>
      <c r="H1" s="187"/>
      <c r="I1" s="187"/>
      <c r="J1" s="187"/>
      <c r="K1" s="187"/>
      <c r="L1" s="187"/>
      <c r="O1" s="162">
        <v>1.0275000000000001</v>
      </c>
    </row>
    <row r="2" spans="1:25">
      <c r="A2" s="94"/>
      <c r="B2" s="95"/>
      <c r="C2" s="96"/>
      <c r="D2" s="95"/>
      <c r="E2" s="95"/>
      <c r="F2" s="137"/>
      <c r="G2" s="137"/>
      <c r="H2" s="188"/>
      <c r="I2" s="188"/>
      <c r="J2" s="137"/>
      <c r="K2" s="137"/>
      <c r="L2" s="137"/>
    </row>
    <row r="3" spans="1:25">
      <c r="A3" s="94" t="s">
        <v>1</v>
      </c>
      <c r="B3" s="137"/>
      <c r="C3" s="94"/>
      <c r="D3" s="137"/>
      <c r="E3" s="137"/>
      <c r="F3" s="137"/>
      <c r="G3" s="137"/>
      <c r="H3" s="137"/>
      <c r="I3" s="137"/>
      <c r="J3" s="137"/>
      <c r="K3" s="137"/>
      <c r="L3" s="137"/>
    </row>
    <row r="4" spans="1:25">
      <c r="A4" s="189" t="s">
        <v>135</v>
      </c>
      <c r="B4" s="189"/>
      <c r="C4" s="189"/>
      <c r="D4" s="98"/>
      <c r="E4" s="98"/>
      <c r="F4" s="98"/>
      <c r="G4" s="98"/>
      <c r="H4" s="98"/>
      <c r="I4" s="137"/>
      <c r="J4" s="137"/>
      <c r="K4" s="137"/>
      <c r="L4" s="137"/>
    </row>
    <row r="5" spans="1:25">
      <c r="A5" s="94" t="s">
        <v>119</v>
      </c>
      <c r="C5" s="94"/>
      <c r="D5" s="137"/>
      <c r="E5" s="137"/>
      <c r="F5" s="137"/>
      <c r="G5" s="137"/>
      <c r="H5" s="137"/>
      <c r="I5" s="137"/>
      <c r="J5" s="137"/>
      <c r="K5" s="137"/>
      <c r="L5" s="137"/>
    </row>
    <row r="6" spans="1:25">
      <c r="A6" s="94"/>
      <c r="B6" s="94"/>
      <c r="C6" s="94"/>
      <c r="D6" s="137"/>
      <c r="E6" s="137"/>
      <c r="F6" s="137"/>
      <c r="G6" s="137"/>
      <c r="H6" s="137"/>
      <c r="I6" s="137"/>
      <c r="J6" s="137"/>
      <c r="K6" s="137"/>
      <c r="L6" s="137"/>
    </row>
    <row r="7" spans="1:25">
      <c r="A7" s="94"/>
      <c r="B7" s="94"/>
      <c r="C7" s="94"/>
      <c r="D7" s="137"/>
      <c r="E7" s="137"/>
      <c r="F7" s="137"/>
      <c r="G7" s="137"/>
      <c r="H7" s="137"/>
      <c r="I7" s="137"/>
      <c r="J7" s="137"/>
      <c r="K7" s="137"/>
      <c r="L7" s="137"/>
      <c r="M7" s="141">
        <v>34.525197001003797</v>
      </c>
    </row>
    <row r="8" spans="1:25" ht="30.75" customHeight="1" thickBot="1">
      <c r="A8" s="126" t="s">
        <v>36</v>
      </c>
      <c r="B8" s="126" t="s">
        <v>37</v>
      </c>
      <c r="C8" s="126" t="s">
        <v>2</v>
      </c>
      <c r="D8" s="126" t="s">
        <v>38</v>
      </c>
      <c r="E8" s="126" t="s">
        <v>39</v>
      </c>
      <c r="F8" s="126" t="s">
        <v>40</v>
      </c>
      <c r="G8" s="127" t="s">
        <v>131</v>
      </c>
      <c r="H8" s="102" t="s">
        <v>41</v>
      </c>
      <c r="I8" s="102" t="s">
        <v>42</v>
      </c>
      <c r="J8" s="102" t="s">
        <v>43</v>
      </c>
      <c r="K8" s="102" t="s">
        <v>44</v>
      </c>
      <c r="L8" s="102" t="s">
        <v>45</v>
      </c>
      <c r="M8" s="102" t="s">
        <v>46</v>
      </c>
      <c r="N8" s="103"/>
      <c r="Q8" s="165" t="s">
        <v>36</v>
      </c>
      <c r="R8" s="165" t="s">
        <v>38</v>
      </c>
      <c r="S8" s="165" t="s">
        <v>37</v>
      </c>
      <c r="T8" s="164" t="s">
        <v>41</v>
      </c>
      <c r="U8" s="164" t="s">
        <v>42</v>
      </c>
      <c r="V8" s="164" t="s">
        <v>43</v>
      </c>
      <c r="W8" s="164" t="s">
        <v>44</v>
      </c>
      <c r="X8" s="164" t="s">
        <v>45</v>
      </c>
      <c r="Y8" s="164" t="s">
        <v>46</v>
      </c>
    </row>
    <row r="9" spans="1:25" ht="12.75" customHeight="1" thickTop="1">
      <c r="A9" s="104" t="s">
        <v>8</v>
      </c>
      <c r="B9" s="138" t="s">
        <v>159</v>
      </c>
      <c r="C9" s="104" t="s">
        <v>48</v>
      </c>
      <c r="D9" s="105" t="s">
        <v>99</v>
      </c>
      <c r="E9" s="104">
        <v>395</v>
      </c>
      <c r="F9" s="104">
        <v>8</v>
      </c>
      <c r="G9" s="93" t="s">
        <v>6</v>
      </c>
      <c r="H9" s="106">
        <f t="shared" ref="H9:H14" si="0">VLOOKUP($A9,Range2020,8,0)*IncrPerc2021</f>
        <v>69051.657371403839</v>
      </c>
      <c r="I9" s="106">
        <f t="shared" ref="I9:I14" si="1">VLOOKUP($A9,Range2020,9,0)*IncrPerc2021</f>
        <v>71809.740247838126</v>
      </c>
      <c r="J9" s="106">
        <f t="shared" ref="J9:J14" si="2">VLOOKUP($A9,Range2020,10,0)*IncrPerc2021</f>
        <v>74678.146439329779</v>
      </c>
      <c r="K9" s="106">
        <f t="shared" ref="K9:K14" si="3">VLOOKUP($A9,Range2020,11,0)*IncrPerc2021</f>
        <v>77661.288878481093</v>
      </c>
      <c r="L9" s="106">
        <f t="shared" ref="L9:L14" si="4">VLOOKUP($A9,Range2020,12,0)*IncrPerc2021</f>
        <v>80763.757015198469</v>
      </c>
      <c r="M9" s="106">
        <f t="shared" ref="M9:M14" si="5">VLOOKUP($A9,Range2020,13,0)*IncrPerc2021</f>
        <v>83990.323877384537</v>
      </c>
      <c r="N9" s="106"/>
      <c r="Q9" s="162" t="str">
        <f>A9</f>
        <v>03960C</v>
      </c>
      <c r="R9" s="170" t="str">
        <f>D9</f>
        <v>Engineer</v>
      </c>
      <c r="S9" s="172" t="str">
        <f>B9</f>
        <v>13</v>
      </c>
      <c r="T9" s="173">
        <f t="shared" ref="T9:Y9" si="6">H9</f>
        <v>69051.657371403839</v>
      </c>
      <c r="U9" s="173">
        <f t="shared" si="6"/>
        <v>71809.740247838126</v>
      </c>
      <c r="V9" s="173">
        <f t="shared" si="6"/>
        <v>74678.146439329779</v>
      </c>
      <c r="W9" s="173">
        <f t="shared" si="6"/>
        <v>77661.288878481093</v>
      </c>
      <c r="X9" s="173">
        <f t="shared" si="6"/>
        <v>80763.757015198469</v>
      </c>
      <c r="Y9" s="173">
        <f t="shared" si="6"/>
        <v>83990.323877384537</v>
      </c>
    </row>
    <row r="10" spans="1:25" ht="12.75" customHeight="1">
      <c r="A10" s="104" t="s">
        <v>78</v>
      </c>
      <c r="B10" s="138" t="s">
        <v>160</v>
      </c>
      <c r="C10" s="104" t="s">
        <v>48</v>
      </c>
      <c r="D10" s="105" t="s">
        <v>92</v>
      </c>
      <c r="E10" s="104">
        <v>470</v>
      </c>
      <c r="F10" s="104">
        <v>10</v>
      </c>
      <c r="G10" s="93" t="s">
        <v>6</v>
      </c>
      <c r="H10" s="106">
        <f t="shared" si="0"/>
        <v>84064.325572948685</v>
      </c>
      <c r="I10" s="106">
        <f t="shared" si="1"/>
        <v>88266.948670219324</v>
      </c>
      <c r="J10" s="106">
        <f t="shared" si="2"/>
        <v>92685.026824622066</v>
      </c>
      <c r="K10" s="106">
        <f t="shared" si="3"/>
        <v>97315.894826657634</v>
      </c>
      <c r="L10" s="106">
        <f t="shared" si="4"/>
        <v>102160.88528107568</v>
      </c>
      <c r="M10" s="106">
        <f t="shared" si="5"/>
        <v>107201.58781610882</v>
      </c>
      <c r="N10" s="106"/>
      <c r="Q10" s="162" t="str">
        <f t="shared" ref="Q10:Q19" si="7">A10</f>
        <v>04106C</v>
      </c>
      <c r="R10" s="170" t="str">
        <f t="shared" ref="R10:R19" si="8">D10</f>
        <v xml:space="preserve">Environmental Engineer </v>
      </c>
      <c r="S10" s="172" t="str">
        <f t="shared" ref="S10:S19" si="9">B10</f>
        <v>01</v>
      </c>
      <c r="T10" s="173">
        <f t="shared" ref="T10:T19" si="10">H10</f>
        <v>84064.325572948685</v>
      </c>
      <c r="U10" s="173">
        <f t="shared" ref="U10:U19" si="11">I10</f>
        <v>88266.948670219324</v>
      </c>
      <c r="V10" s="173">
        <f t="shared" ref="V10:V19" si="12">J10</f>
        <v>92685.026824622066</v>
      </c>
      <c r="W10" s="173">
        <f t="shared" ref="W10:W19" si="13">K10</f>
        <v>97315.894826657634</v>
      </c>
      <c r="X10" s="173">
        <f t="shared" ref="X10:X19" si="14">L10</f>
        <v>102160.88528107568</v>
      </c>
      <c r="Y10" s="173">
        <f t="shared" ref="Y10:Y19" si="15">M10</f>
        <v>107201.58781610882</v>
      </c>
    </row>
    <row r="11" spans="1:25" ht="12.75" customHeight="1">
      <c r="A11" s="104" t="s">
        <v>13</v>
      </c>
      <c r="B11" s="138" t="s">
        <v>160</v>
      </c>
      <c r="C11" s="104" t="s">
        <v>48</v>
      </c>
      <c r="D11" s="105" t="s">
        <v>100</v>
      </c>
      <c r="E11" s="104">
        <v>470</v>
      </c>
      <c r="F11" s="104">
        <v>10</v>
      </c>
      <c r="G11" s="93" t="s">
        <v>6</v>
      </c>
      <c r="H11" s="106">
        <f t="shared" si="0"/>
        <v>84064.325572948685</v>
      </c>
      <c r="I11" s="106">
        <f t="shared" si="1"/>
        <v>88266.948670219324</v>
      </c>
      <c r="J11" s="106">
        <f t="shared" si="2"/>
        <v>92685.026824622066</v>
      </c>
      <c r="K11" s="106">
        <f t="shared" si="3"/>
        <v>97315.894826657634</v>
      </c>
      <c r="L11" s="106">
        <f t="shared" si="4"/>
        <v>102160.88528107568</v>
      </c>
      <c r="M11" s="106">
        <f t="shared" si="5"/>
        <v>107201.58781610882</v>
      </c>
      <c r="N11" s="106"/>
      <c r="Q11" s="162" t="str">
        <f t="shared" si="7"/>
        <v>07890C</v>
      </c>
      <c r="R11" s="170" t="str">
        <f t="shared" si="8"/>
        <v>Plan Examiner II Engineer</v>
      </c>
      <c r="S11" s="172" t="str">
        <f t="shared" si="9"/>
        <v>01</v>
      </c>
      <c r="T11" s="173">
        <f t="shared" si="10"/>
        <v>84064.325572948685</v>
      </c>
      <c r="U11" s="173">
        <f t="shared" si="11"/>
        <v>88266.948670219324</v>
      </c>
      <c r="V11" s="173">
        <f t="shared" si="12"/>
        <v>92685.026824622066</v>
      </c>
      <c r="W11" s="173">
        <f t="shared" si="13"/>
        <v>97315.894826657634</v>
      </c>
      <c r="X11" s="173">
        <f t="shared" si="14"/>
        <v>102160.88528107568</v>
      </c>
      <c r="Y11" s="173">
        <f t="shared" si="15"/>
        <v>107201.58781610882</v>
      </c>
    </row>
    <row r="12" spans="1:25" ht="12.75" customHeight="1">
      <c r="A12" s="104" t="s">
        <v>10</v>
      </c>
      <c r="B12" s="138" t="s">
        <v>160</v>
      </c>
      <c r="C12" s="104" t="s">
        <v>48</v>
      </c>
      <c r="D12" s="105" t="s">
        <v>102</v>
      </c>
      <c r="E12" s="104">
        <v>485</v>
      </c>
      <c r="F12" s="104">
        <v>10</v>
      </c>
      <c r="G12" s="93" t="s">
        <v>6</v>
      </c>
      <c r="H12" s="106">
        <f t="shared" si="0"/>
        <v>84064.325572948685</v>
      </c>
      <c r="I12" s="106">
        <f t="shared" si="1"/>
        <v>88266.948670219324</v>
      </c>
      <c r="J12" s="106">
        <f t="shared" si="2"/>
        <v>92685.026824622066</v>
      </c>
      <c r="K12" s="106">
        <f t="shared" si="3"/>
        <v>97315.894826657634</v>
      </c>
      <c r="L12" s="106">
        <f t="shared" si="4"/>
        <v>102160.88528107568</v>
      </c>
      <c r="M12" s="106">
        <f t="shared" si="5"/>
        <v>107201.58781610882</v>
      </c>
      <c r="N12" s="106"/>
      <c r="Q12" s="162" t="str">
        <f t="shared" si="7"/>
        <v>03980C</v>
      </c>
      <c r="R12" s="170" t="str">
        <f t="shared" si="8"/>
        <v>Professional Engineer</v>
      </c>
      <c r="S12" s="172" t="str">
        <f t="shared" si="9"/>
        <v>01</v>
      </c>
      <c r="T12" s="173">
        <f t="shared" si="10"/>
        <v>84064.325572948685</v>
      </c>
      <c r="U12" s="173">
        <f t="shared" si="11"/>
        <v>88266.948670219324</v>
      </c>
      <c r="V12" s="173">
        <f t="shared" si="12"/>
        <v>92685.026824622066</v>
      </c>
      <c r="W12" s="173">
        <f t="shared" si="13"/>
        <v>97315.894826657634</v>
      </c>
      <c r="X12" s="173">
        <f t="shared" si="14"/>
        <v>102160.88528107568</v>
      </c>
      <c r="Y12" s="173">
        <f t="shared" si="15"/>
        <v>107201.58781610882</v>
      </c>
    </row>
    <row r="13" spans="1:25" ht="12.75" customHeight="1">
      <c r="A13" s="104" t="s">
        <v>11</v>
      </c>
      <c r="B13" s="138" t="s">
        <v>162</v>
      </c>
      <c r="C13" s="104" t="s">
        <v>48</v>
      </c>
      <c r="D13" s="105" t="s">
        <v>103</v>
      </c>
      <c r="E13" s="104">
        <v>523</v>
      </c>
      <c r="F13" s="104">
        <v>11</v>
      </c>
      <c r="G13" s="93" t="s">
        <v>6</v>
      </c>
      <c r="H13" s="106">
        <f t="shared" si="0"/>
        <v>91758.40257950082</v>
      </c>
      <c r="I13" s="106">
        <f t="shared" si="1"/>
        <v>96337.170314453484</v>
      </c>
      <c r="J13" s="106">
        <f t="shared" si="2"/>
        <v>101155.89625596594</v>
      </c>
      <c r="K13" s="106">
        <f t="shared" si="3"/>
        <v>106185.889748906</v>
      </c>
      <c r="L13" s="106">
        <f t="shared" si="4"/>
        <v>111496.27049384908</v>
      </c>
      <c r="M13" s="106">
        <f t="shared" si="5"/>
        <v>116998.0380945857</v>
      </c>
      <c r="N13" s="106"/>
      <c r="Q13" s="162" t="str">
        <f t="shared" si="7"/>
        <v>03990C</v>
      </c>
      <c r="R13" s="170" t="str">
        <f t="shared" si="8"/>
        <v>Senior Professional Engineer</v>
      </c>
      <c r="S13" s="172" t="str">
        <f t="shared" si="9"/>
        <v>02</v>
      </c>
      <c r="T13" s="173">
        <f t="shared" si="10"/>
        <v>91758.40257950082</v>
      </c>
      <c r="U13" s="173">
        <f t="shared" si="11"/>
        <v>96337.170314453484</v>
      </c>
      <c r="V13" s="173">
        <f t="shared" si="12"/>
        <v>101155.89625596594</v>
      </c>
      <c r="W13" s="173">
        <f t="shared" si="13"/>
        <v>106185.889748906</v>
      </c>
      <c r="X13" s="173">
        <f t="shared" si="14"/>
        <v>111496.27049384908</v>
      </c>
      <c r="Y13" s="173">
        <f t="shared" si="15"/>
        <v>116998.0380945857</v>
      </c>
    </row>
    <row r="14" spans="1:25" ht="12.75" customHeight="1">
      <c r="A14" s="104" t="s">
        <v>9</v>
      </c>
      <c r="B14" s="138" t="s">
        <v>161</v>
      </c>
      <c r="C14" s="104" t="s">
        <v>48</v>
      </c>
      <c r="D14" s="105" t="s">
        <v>101</v>
      </c>
      <c r="E14" s="104">
        <v>578</v>
      </c>
      <c r="F14" s="104">
        <v>12</v>
      </c>
      <c r="G14" s="93" t="s">
        <v>6</v>
      </c>
      <c r="H14" s="106">
        <f t="shared" si="0"/>
        <v>100910.7228707756</v>
      </c>
      <c r="I14" s="106">
        <f t="shared" si="1"/>
        <v>105942.02048440345</v>
      </c>
      <c r="J14" s="106">
        <f t="shared" si="2"/>
        <v>111251.09450041733</v>
      </c>
      <c r="K14" s="106">
        <f t="shared" si="3"/>
        <v>116805.3445098629</v>
      </c>
      <c r="L14" s="106">
        <f t="shared" si="4"/>
        <v>122637.37222581523</v>
      </c>
      <c r="M14" s="106">
        <f t="shared" si="5"/>
        <v>128689.38737231243</v>
      </c>
      <c r="N14" s="106"/>
      <c r="Q14" s="162" t="str">
        <f t="shared" si="7"/>
        <v>04000C</v>
      </c>
      <c r="R14" s="170" t="str">
        <f t="shared" si="8"/>
        <v>Principal Professional Engr</v>
      </c>
      <c r="S14" s="172" t="str">
        <f t="shared" si="9"/>
        <v>04</v>
      </c>
      <c r="T14" s="173">
        <f t="shared" si="10"/>
        <v>100910.7228707756</v>
      </c>
      <c r="U14" s="173">
        <f t="shared" si="11"/>
        <v>105942.02048440345</v>
      </c>
      <c r="V14" s="173">
        <f t="shared" si="12"/>
        <v>111251.09450041733</v>
      </c>
      <c r="W14" s="173">
        <f t="shared" si="13"/>
        <v>116805.3445098629</v>
      </c>
      <c r="X14" s="173">
        <f t="shared" si="14"/>
        <v>122637.37222581523</v>
      </c>
      <c r="Y14" s="173">
        <f t="shared" si="15"/>
        <v>128689.38737231243</v>
      </c>
    </row>
    <row r="15" spans="1:25" ht="12.75" customHeight="1">
      <c r="A15" s="104" t="s">
        <v>172</v>
      </c>
      <c r="B15" s="138" t="s">
        <v>163</v>
      </c>
      <c r="C15" s="104" t="s">
        <v>48</v>
      </c>
      <c r="D15" s="105" t="s">
        <v>173</v>
      </c>
      <c r="E15" s="104"/>
      <c r="F15" s="104">
        <v>13</v>
      </c>
      <c r="G15" s="93" t="s">
        <v>6</v>
      </c>
      <c r="H15" s="106">
        <v>106500.18413879247</v>
      </c>
      <c r="I15" s="106">
        <v>111809.25815480632</v>
      </c>
      <c r="J15" s="106">
        <v>117398.71942282318</v>
      </c>
      <c r="K15" s="106">
        <v>123267.26382215526</v>
      </c>
      <c r="L15" s="106">
        <v>129414.88874456112</v>
      </c>
      <c r="M15" s="106">
        <v>135801.63845506398</v>
      </c>
      <c r="N15" s="106"/>
      <c r="Q15" s="162" t="str">
        <f t="shared" si="7"/>
        <v>53044C</v>
      </c>
      <c r="R15" s="170" t="str">
        <f t="shared" si="8"/>
        <v>Sewer Operations Engineer</v>
      </c>
      <c r="S15" s="172" t="str">
        <f t="shared" si="9"/>
        <v>05</v>
      </c>
      <c r="T15" s="173">
        <f t="shared" si="10"/>
        <v>106500.18413879247</v>
      </c>
      <c r="U15" s="173">
        <f t="shared" si="11"/>
        <v>111809.25815480632</v>
      </c>
      <c r="V15" s="173">
        <f t="shared" si="12"/>
        <v>117398.71942282318</v>
      </c>
      <c r="W15" s="173">
        <f t="shared" si="13"/>
        <v>123267.26382215526</v>
      </c>
      <c r="X15" s="173">
        <f t="shared" si="14"/>
        <v>129414.88874456112</v>
      </c>
      <c r="Y15" s="173">
        <f t="shared" si="15"/>
        <v>135801.63845506398</v>
      </c>
    </row>
    <row r="16" spans="1:25" ht="12.75" customHeight="1">
      <c r="A16" s="104" t="s">
        <v>16</v>
      </c>
      <c r="B16" s="138" t="s">
        <v>163</v>
      </c>
      <c r="C16" s="104" t="s">
        <v>48</v>
      </c>
      <c r="D16" s="105" t="s">
        <v>104</v>
      </c>
      <c r="E16" s="104">
        <v>625</v>
      </c>
      <c r="F16" s="104">
        <v>13</v>
      </c>
      <c r="G16" s="93" t="s">
        <v>6</v>
      </c>
      <c r="H16" s="106">
        <f>VLOOKUP($A16,Range2020,8,0)*IncrPerc2021</f>
        <v>106500.18413879247</v>
      </c>
      <c r="I16" s="106">
        <f>VLOOKUP($A16,Range2020,9,0)*IncrPerc2021</f>
        <v>111809.25815480632</v>
      </c>
      <c r="J16" s="106">
        <f>VLOOKUP($A16,Range2020,10,0)*IncrPerc2021</f>
        <v>117398.71942282318</v>
      </c>
      <c r="K16" s="106">
        <f>VLOOKUP($A16,Range2020,11,0)*IncrPerc2021</f>
        <v>123267.26382215526</v>
      </c>
      <c r="L16" s="106">
        <f>VLOOKUP($A16,Range2020,12,0)*IncrPerc2021</f>
        <v>129414.88874456112</v>
      </c>
      <c r="M16" s="106">
        <f>VLOOKUP($A16,Range2020,13,0)*IncrPerc2021</f>
        <v>135801.63845506398</v>
      </c>
      <c r="N16" s="106"/>
      <c r="Q16" s="162" t="str">
        <f t="shared" si="7"/>
        <v>09440C</v>
      </c>
      <c r="R16" s="170" t="str">
        <f t="shared" si="8"/>
        <v>Street Maintenance Engineer</v>
      </c>
      <c r="S16" s="172" t="str">
        <f t="shared" si="9"/>
        <v>05</v>
      </c>
      <c r="T16" s="173">
        <f t="shared" si="10"/>
        <v>106500.18413879247</v>
      </c>
      <c r="U16" s="173">
        <f t="shared" si="11"/>
        <v>111809.25815480632</v>
      </c>
      <c r="V16" s="173">
        <f t="shared" si="12"/>
        <v>117398.71942282318</v>
      </c>
      <c r="W16" s="173">
        <f t="shared" si="13"/>
        <v>123267.26382215526</v>
      </c>
      <c r="X16" s="173">
        <f t="shared" si="14"/>
        <v>129414.88874456112</v>
      </c>
      <c r="Y16" s="173">
        <f t="shared" si="15"/>
        <v>135801.63845506398</v>
      </c>
    </row>
    <row r="17" spans="1:25" ht="12.75" customHeight="1">
      <c r="A17" s="104" t="s">
        <v>18</v>
      </c>
      <c r="B17" s="138" t="s">
        <v>163</v>
      </c>
      <c r="C17" s="104" t="s">
        <v>48</v>
      </c>
      <c r="D17" s="105" t="s">
        <v>105</v>
      </c>
      <c r="E17" s="104">
        <v>588</v>
      </c>
      <c r="F17" s="104">
        <v>13</v>
      </c>
      <c r="G17" s="93" t="s">
        <v>6</v>
      </c>
      <c r="H17" s="106">
        <f>VLOOKUP($A17,Range2020,8,0)*IncrPerc2021</f>
        <v>106500.18413879247</v>
      </c>
      <c r="I17" s="106">
        <f>VLOOKUP($A17,Range2020,9,0)*IncrPerc2021</f>
        <v>111809.25815480632</v>
      </c>
      <c r="J17" s="106">
        <f>VLOOKUP($A17,Range2020,10,0)*IncrPerc2021</f>
        <v>117398.71942282318</v>
      </c>
      <c r="K17" s="106">
        <f>VLOOKUP($A17,Range2020,11,0)*IncrPerc2021</f>
        <v>123267.26382215526</v>
      </c>
      <c r="L17" s="106">
        <f>VLOOKUP($A17,Range2020,12,0)*IncrPerc2021</f>
        <v>129414.88874456112</v>
      </c>
      <c r="M17" s="106">
        <f>VLOOKUP($A17,Range2020,13,0)*IncrPerc2021</f>
        <v>135801.63845506398</v>
      </c>
      <c r="N17" s="106"/>
      <c r="Q17" s="162" t="str">
        <f t="shared" si="7"/>
        <v>09750C</v>
      </c>
      <c r="R17" s="170" t="str">
        <f t="shared" si="8"/>
        <v>Supt, Environmental Engnrg</v>
      </c>
      <c r="S17" s="172" t="str">
        <f t="shared" si="9"/>
        <v>05</v>
      </c>
      <c r="T17" s="173">
        <f t="shared" si="10"/>
        <v>106500.18413879247</v>
      </c>
      <c r="U17" s="173">
        <f t="shared" si="11"/>
        <v>111809.25815480632</v>
      </c>
      <c r="V17" s="173">
        <f t="shared" si="12"/>
        <v>117398.71942282318</v>
      </c>
      <c r="W17" s="173">
        <f t="shared" si="13"/>
        <v>123267.26382215526</v>
      </c>
      <c r="X17" s="173">
        <f t="shared" si="14"/>
        <v>129414.88874456112</v>
      </c>
      <c r="Y17" s="173">
        <f t="shared" si="15"/>
        <v>135801.63845506398</v>
      </c>
    </row>
    <row r="18" spans="1:25" ht="12.75" customHeight="1">
      <c r="A18" s="104" t="s">
        <v>20</v>
      </c>
      <c r="B18" s="138" t="s">
        <v>163</v>
      </c>
      <c r="C18" s="104" t="s">
        <v>48</v>
      </c>
      <c r="D18" s="105" t="s">
        <v>107</v>
      </c>
      <c r="E18" s="104">
        <v>605</v>
      </c>
      <c r="F18" s="104">
        <v>13</v>
      </c>
      <c r="G18" s="93" t="s">
        <v>6</v>
      </c>
      <c r="H18" s="106">
        <f>VLOOKUP($A18,Range2020,8,0)*IncrPerc2021</f>
        <v>106500.18413879247</v>
      </c>
      <c r="I18" s="106">
        <f>VLOOKUP($A18,Range2020,9,0)*IncrPerc2021</f>
        <v>111809.25815480632</v>
      </c>
      <c r="J18" s="106">
        <f>VLOOKUP($A18,Range2020,10,0)*IncrPerc2021</f>
        <v>117398.71942282318</v>
      </c>
      <c r="K18" s="106">
        <f>VLOOKUP($A18,Range2020,11,0)*IncrPerc2021</f>
        <v>123267.26382215526</v>
      </c>
      <c r="L18" s="106">
        <f>VLOOKUP($A18,Range2020,12,0)*IncrPerc2021</f>
        <v>129414.88874456112</v>
      </c>
      <c r="M18" s="106">
        <f>VLOOKUP($A18,Range2020,13,0)*IncrPerc2021</f>
        <v>135801.63845506398</v>
      </c>
      <c r="N18" s="106"/>
      <c r="Q18" s="162" t="str">
        <f t="shared" si="7"/>
        <v>09790C</v>
      </c>
      <c r="R18" s="170" t="str">
        <f t="shared" si="8"/>
        <v xml:space="preserve">Supt, Water Plant Operations </v>
      </c>
      <c r="S18" s="172" t="str">
        <f t="shared" si="9"/>
        <v>05</v>
      </c>
      <c r="T18" s="173">
        <f t="shared" si="10"/>
        <v>106500.18413879247</v>
      </c>
      <c r="U18" s="173">
        <f t="shared" si="11"/>
        <v>111809.25815480632</v>
      </c>
      <c r="V18" s="173">
        <f t="shared" si="12"/>
        <v>117398.71942282318</v>
      </c>
      <c r="W18" s="173">
        <f t="shared" si="13"/>
        <v>123267.26382215526</v>
      </c>
      <c r="X18" s="173">
        <f t="shared" si="14"/>
        <v>129414.88874456112</v>
      </c>
      <c r="Y18" s="173">
        <f t="shared" si="15"/>
        <v>135801.63845506398</v>
      </c>
    </row>
    <row r="19" spans="1:25" ht="12.75" customHeight="1">
      <c r="A19" s="104" t="s">
        <v>127</v>
      </c>
      <c r="B19" s="139" t="s">
        <v>163</v>
      </c>
      <c r="C19" s="104" t="s">
        <v>48</v>
      </c>
      <c r="D19" s="105" t="s">
        <v>125</v>
      </c>
      <c r="E19" s="104">
        <v>600</v>
      </c>
      <c r="F19" s="104">
        <v>13</v>
      </c>
      <c r="G19" s="93" t="s">
        <v>6</v>
      </c>
      <c r="H19" s="106">
        <f>VLOOKUP($A19,Range2020,8,0)*IncrPerc2021</f>
        <v>106500.18413879247</v>
      </c>
      <c r="I19" s="106">
        <f>VLOOKUP($A19,Range2020,9,0)*IncrPerc2021</f>
        <v>111809.25815480632</v>
      </c>
      <c r="J19" s="106">
        <f>VLOOKUP($A19,Range2020,10,0)*IncrPerc2021</f>
        <v>117398.71942282318</v>
      </c>
      <c r="K19" s="106">
        <f>VLOOKUP($A19,Range2020,11,0)*IncrPerc2021</f>
        <v>123267.26382215526</v>
      </c>
      <c r="L19" s="106">
        <f>VLOOKUP($A19,Range2020,12,0)*IncrPerc2021</f>
        <v>129414.88874456112</v>
      </c>
      <c r="M19" s="106">
        <f>VLOOKUP($A19,Range2020,13,0)*IncrPerc2021</f>
        <v>135801.63845506398</v>
      </c>
      <c r="N19" s="106"/>
      <c r="Q19" s="162" t="str">
        <f t="shared" si="7"/>
        <v>10625C</v>
      </c>
      <c r="R19" s="170" t="str">
        <f t="shared" si="8"/>
        <v>Traffic Operations Engineer</v>
      </c>
      <c r="S19" s="172" t="str">
        <f t="shared" si="9"/>
        <v>05</v>
      </c>
      <c r="T19" s="173">
        <f t="shared" si="10"/>
        <v>106500.18413879247</v>
      </c>
      <c r="U19" s="173">
        <f t="shared" si="11"/>
        <v>111809.25815480632</v>
      </c>
      <c r="V19" s="173">
        <f t="shared" si="12"/>
        <v>117398.71942282318</v>
      </c>
      <c r="W19" s="173">
        <f t="shared" si="13"/>
        <v>123267.26382215526</v>
      </c>
      <c r="X19" s="173">
        <f t="shared" si="14"/>
        <v>129414.88874456112</v>
      </c>
      <c r="Y19" s="173">
        <f t="shared" si="15"/>
        <v>135801.63845506398</v>
      </c>
    </row>
    <row r="20" spans="1:25">
      <c r="A20" s="93" t="s">
        <v>129</v>
      </c>
    </row>
    <row r="21" spans="1:25">
      <c r="B21" s="93"/>
    </row>
    <row r="22" spans="1:25">
      <c r="A22" s="115" t="s">
        <v>68</v>
      </c>
    </row>
    <row r="23" spans="1:25">
      <c r="A23" s="116">
        <f>O23</f>
        <v>35</v>
      </c>
      <c r="C23" s="93" t="s">
        <v>165</v>
      </c>
      <c r="O23" s="170">
        <f>'Feb 1 2020'!O22</f>
        <v>35</v>
      </c>
      <c r="P23" s="162" t="s">
        <v>167</v>
      </c>
      <c r="Q23" s="162" t="str">
        <f>P23</f>
        <v>CENCDY</v>
      </c>
      <c r="T23" s="170">
        <f>O23</f>
        <v>35</v>
      </c>
    </row>
    <row r="24" spans="1:25">
      <c r="A24" s="116">
        <f>O24</f>
        <v>45</v>
      </c>
      <c r="C24" s="93" t="s">
        <v>166</v>
      </c>
      <c r="O24" s="170">
        <f>'Feb 1 2020'!O23</f>
        <v>45</v>
      </c>
      <c r="P24" s="162" t="s">
        <v>168</v>
      </c>
      <c r="Q24" s="162" t="str">
        <f>P24</f>
        <v>CENCWE</v>
      </c>
      <c r="T24" s="170">
        <f>O24</f>
        <v>45</v>
      </c>
    </row>
    <row r="26" spans="1:25">
      <c r="A26" s="94" t="s">
        <v>70</v>
      </c>
      <c r="B26" s="137"/>
      <c r="C26" s="94"/>
      <c r="D26" s="137"/>
      <c r="E26" s="137"/>
      <c r="F26" s="137"/>
      <c r="G26" s="137"/>
    </row>
    <row r="27" spans="1:25">
      <c r="A27" s="118" t="s">
        <v>133</v>
      </c>
      <c r="B27" s="137"/>
      <c r="C27" s="94"/>
      <c r="D27" s="137"/>
      <c r="E27" s="137"/>
      <c r="F27" s="137"/>
      <c r="G27" s="137"/>
    </row>
    <row r="28" spans="1:25">
      <c r="A28" s="128">
        <f>O28</f>
        <v>803.3491888361184</v>
      </c>
      <c r="C28" s="119" t="s">
        <v>24</v>
      </c>
      <c r="D28" s="137"/>
      <c r="E28" s="137"/>
      <c r="F28" s="137"/>
      <c r="G28" s="137"/>
      <c r="O28" s="173">
        <f>'Feb 1 2020'!O27*IncrPerc2021</f>
        <v>803.3491888361184</v>
      </c>
      <c r="P28" s="162" t="s">
        <v>169</v>
      </c>
      <c r="Q28" s="162" t="s">
        <v>178</v>
      </c>
      <c r="T28" s="170">
        <f>O28</f>
        <v>803.3491888361184</v>
      </c>
    </row>
    <row r="29" spans="1:25">
      <c r="A29" s="128">
        <f>O29</f>
        <v>1099.6145816289923</v>
      </c>
      <c r="C29" s="119" t="s">
        <v>25</v>
      </c>
      <c r="D29" s="137"/>
      <c r="E29" s="137"/>
      <c r="F29" s="137"/>
      <c r="G29" s="137"/>
      <c r="O29" s="173">
        <f>'Feb 1 2020'!O28*IncrPerc2021</f>
        <v>1099.6145816289923</v>
      </c>
      <c r="P29" s="162" t="s">
        <v>169</v>
      </c>
      <c r="Q29" s="162" t="s">
        <v>179</v>
      </c>
      <c r="T29" s="170">
        <f>O29</f>
        <v>1099.6145816289923</v>
      </c>
    </row>
    <row r="30" spans="1:25">
      <c r="A30" s="128">
        <f>O30</f>
        <v>1299.1806202756143</v>
      </c>
      <c r="C30" s="119" t="s">
        <v>26</v>
      </c>
      <c r="D30" s="137"/>
      <c r="E30" s="137"/>
      <c r="F30" s="137"/>
      <c r="G30" s="137"/>
      <c r="I30" s="125"/>
      <c r="J30" s="125"/>
      <c r="K30" s="125"/>
      <c r="L30" s="125"/>
      <c r="O30" s="173">
        <f>'Feb 1 2020'!O29*IncrPerc2021</f>
        <v>1299.1806202756143</v>
      </c>
      <c r="P30" s="162" t="s">
        <v>169</v>
      </c>
      <c r="Q30" s="162" t="s">
        <v>180</v>
      </c>
      <c r="T30" s="170">
        <f>O30</f>
        <v>1299.1806202756143</v>
      </c>
    </row>
    <row r="31" spans="1:25">
      <c r="A31" s="128">
        <f>O31</f>
        <v>1529.8352606367223</v>
      </c>
      <c r="C31" s="119" t="s">
        <v>27</v>
      </c>
      <c r="D31" s="105"/>
      <c r="E31" s="104"/>
      <c r="F31" s="104"/>
      <c r="O31" s="173">
        <f>'Feb 1 2020'!O30*IncrPerc2021</f>
        <v>1529.8352606367223</v>
      </c>
      <c r="P31" s="162" t="s">
        <v>169</v>
      </c>
      <c r="Q31" s="162" t="s">
        <v>181</v>
      </c>
      <c r="T31" s="170">
        <f>O31</f>
        <v>1529.8352606367223</v>
      </c>
    </row>
    <row r="32" spans="1:25">
      <c r="A32" s="104"/>
      <c r="B32" s="104"/>
      <c r="C32" s="104"/>
      <c r="D32" s="105"/>
      <c r="E32" s="104"/>
      <c r="F32" s="104"/>
    </row>
  </sheetData>
  <sheetProtection sheet="1" objects="1" scenarios="1"/>
  <mergeCells count="3">
    <mergeCell ref="A1:L1"/>
    <mergeCell ref="H2:I2"/>
    <mergeCell ref="A4:C4"/>
  </mergeCells>
  <pageMargins left="0.25" right="0.25" top="1" bottom="0.5" header="0.5" footer="0.5"/>
  <pageSetup scale="96"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1:AH40"/>
  <sheetViews>
    <sheetView showGridLines="0" zoomScaleNormal="100" workbookViewId="0">
      <selection activeCell="P9" sqref="P9:X32"/>
    </sheetView>
  </sheetViews>
  <sheetFormatPr defaultColWidth="9.265625" defaultRowHeight="13.15"/>
  <cols>
    <col min="1" max="1" width="10" style="93" customWidth="1"/>
    <col min="2" max="2" width="8.265625" style="112" bestFit="1" customWidth="1"/>
    <col min="3" max="3" width="9" style="93" customWidth="1"/>
    <col min="4" max="4" width="23.3984375" style="93" bestFit="1" customWidth="1"/>
    <col min="5" max="5" width="5.59765625" style="93" bestFit="1" customWidth="1"/>
    <col min="6" max="6" width="5.3984375" style="93" bestFit="1" customWidth="1"/>
    <col min="7" max="7" width="4.73046875" style="93" bestFit="1" customWidth="1"/>
    <col min="8" max="8" width="11.73046875" style="93" customWidth="1"/>
    <col min="9" max="9" width="10.265625" style="93" customWidth="1"/>
    <col min="10" max="10" width="9.73046875" style="93" customWidth="1"/>
    <col min="11" max="12" width="10.59765625" style="93" customWidth="1"/>
    <col min="13" max="13" width="10" style="93" bestFit="1" customWidth="1"/>
    <col min="14" max="14" width="9.265625" style="93" customWidth="1"/>
    <col min="15" max="15" width="10.265625" style="152" hidden="1" customWidth="1"/>
    <col min="16" max="16" width="11.265625" style="160" hidden="1" customWidth="1"/>
    <col min="17" max="17" width="23.73046875" style="152" hidden="1" customWidth="1"/>
    <col min="18" max="18" width="5.3984375" style="152" hidden="1" customWidth="1"/>
    <col min="19" max="20" width="7.59765625" style="152" hidden="1" customWidth="1"/>
    <col min="21" max="22" width="7.59765625" style="154" hidden="1" customWidth="1"/>
    <col min="23" max="24" width="7.59765625" style="152" hidden="1" customWidth="1"/>
    <col min="25" max="25" width="10.3984375" style="162" hidden="1" customWidth="1"/>
    <col min="26" max="26" width="7.73046875" style="162" hidden="1" customWidth="1"/>
    <col min="27" max="27" width="23.73046875" style="163" hidden="1" customWidth="1"/>
    <col min="28" max="28" width="8.265625" style="162" hidden="1" customWidth="1"/>
    <col min="29" max="34" width="6.73046875" style="162" hidden="1" customWidth="1"/>
    <col min="35" max="16384" width="9.265625" style="93"/>
  </cols>
  <sheetData>
    <row r="1" spans="1:34">
      <c r="A1" s="93" t="s">
        <v>199</v>
      </c>
    </row>
    <row r="2" spans="1:34" ht="21">
      <c r="A2" s="187" t="s">
        <v>0</v>
      </c>
      <c r="B2" s="187"/>
      <c r="C2" s="187"/>
      <c r="D2" s="187"/>
      <c r="E2" s="187"/>
      <c r="F2" s="187"/>
      <c r="G2" s="187"/>
      <c r="H2" s="187"/>
      <c r="I2" s="187"/>
      <c r="J2" s="187"/>
      <c r="K2" s="187"/>
      <c r="L2" s="187"/>
      <c r="P2" s="160" t="s">
        <v>177</v>
      </c>
      <c r="Q2" s="153">
        <v>1.0249999999999999</v>
      </c>
    </row>
    <row r="3" spans="1:34">
      <c r="A3" s="94"/>
      <c r="B3" s="95"/>
      <c r="C3" s="96"/>
      <c r="D3" s="95"/>
      <c r="E3" s="95"/>
      <c r="F3" s="149"/>
      <c r="G3" s="149"/>
      <c r="H3" s="188"/>
      <c r="I3" s="188"/>
      <c r="J3" s="149"/>
      <c r="K3" s="149"/>
      <c r="L3" s="149"/>
      <c r="P3" s="160" t="s">
        <v>187</v>
      </c>
    </row>
    <row r="4" spans="1:34">
      <c r="A4" s="94" t="s">
        <v>1</v>
      </c>
      <c r="B4" s="149"/>
      <c r="C4" s="94"/>
      <c r="D4" s="149"/>
      <c r="E4" s="149"/>
      <c r="F4" s="149"/>
      <c r="G4" s="149"/>
      <c r="H4" s="149"/>
      <c r="I4" s="149"/>
      <c r="J4" s="149"/>
      <c r="K4" s="149"/>
      <c r="L4" s="149"/>
    </row>
    <row r="5" spans="1:34">
      <c r="A5" s="189" t="s">
        <v>174</v>
      </c>
      <c r="B5" s="189"/>
      <c r="C5" s="189"/>
      <c r="D5" s="98"/>
      <c r="E5" s="98"/>
      <c r="F5" s="98"/>
      <c r="G5" s="98"/>
      <c r="H5" s="98"/>
      <c r="I5" s="149"/>
      <c r="J5" s="149"/>
      <c r="K5" s="149"/>
      <c r="L5" s="149"/>
    </row>
    <row r="6" spans="1:34">
      <c r="A6" s="151" t="str">
        <f>TEXT(Q2-1,"#.00%")&amp;" Increase"</f>
        <v>2.50% Increase</v>
      </c>
      <c r="C6" s="94"/>
      <c r="D6" s="149"/>
      <c r="E6" s="149"/>
      <c r="F6" s="149"/>
      <c r="G6" s="149"/>
      <c r="H6" s="149"/>
      <c r="I6" s="149"/>
      <c r="J6" s="149"/>
      <c r="K6" s="149"/>
      <c r="L6" s="149"/>
    </row>
    <row r="7" spans="1:34">
      <c r="A7" s="96" t="s">
        <v>198</v>
      </c>
      <c r="B7" s="94"/>
      <c r="C7" s="94"/>
      <c r="D7" s="149"/>
      <c r="E7" s="149"/>
      <c r="F7" s="149"/>
      <c r="G7" s="149"/>
      <c r="H7" s="149"/>
      <c r="I7" s="149"/>
      <c r="J7" s="149"/>
      <c r="K7" s="149"/>
      <c r="L7" s="149"/>
      <c r="S7" s="161">
        <v>4</v>
      </c>
      <c r="T7" s="161">
        <v>5</v>
      </c>
      <c r="U7" s="161">
        <v>6</v>
      </c>
      <c r="V7" s="161">
        <v>7</v>
      </c>
      <c r="W7" s="161">
        <v>8</v>
      </c>
      <c r="X7" s="161">
        <v>9</v>
      </c>
    </row>
    <row r="8" spans="1:34">
      <c r="A8" s="94"/>
      <c r="B8" s="94"/>
      <c r="C8" s="94"/>
      <c r="D8" s="149"/>
      <c r="E8" s="149"/>
      <c r="F8" s="149"/>
      <c r="G8" s="149"/>
      <c r="H8" s="149"/>
      <c r="I8" s="149"/>
      <c r="J8" s="149"/>
      <c r="K8" s="149"/>
      <c r="L8" s="149"/>
      <c r="M8" s="141">
        <v>34.525197001003797</v>
      </c>
      <c r="O8" s="174" t="s">
        <v>197</v>
      </c>
      <c r="Y8" s="175" t="s">
        <v>196</v>
      </c>
    </row>
    <row r="9" spans="1:34" ht="30.75" customHeight="1" thickBot="1">
      <c r="A9" s="126" t="s">
        <v>36</v>
      </c>
      <c r="B9" s="126" t="s">
        <v>37</v>
      </c>
      <c r="C9" s="126" t="s">
        <v>2</v>
      </c>
      <c r="D9" s="126" t="s">
        <v>38</v>
      </c>
      <c r="E9" s="126" t="s">
        <v>39</v>
      </c>
      <c r="F9" s="126" t="s">
        <v>40</v>
      </c>
      <c r="G9" s="127" t="s">
        <v>131</v>
      </c>
      <c r="H9" s="102" t="s">
        <v>41</v>
      </c>
      <c r="I9" s="102" t="s">
        <v>42</v>
      </c>
      <c r="J9" s="102" t="s">
        <v>43</v>
      </c>
      <c r="K9" s="102" t="s">
        <v>44</v>
      </c>
      <c r="L9" s="102" t="s">
        <v>45</v>
      </c>
      <c r="M9" s="102" t="s">
        <v>46</v>
      </c>
      <c r="N9" s="103"/>
      <c r="O9" s="156" t="s">
        <v>175</v>
      </c>
      <c r="P9" s="155" t="s">
        <v>36</v>
      </c>
      <c r="Q9" s="155" t="s">
        <v>38</v>
      </c>
      <c r="R9" s="155" t="s">
        <v>37</v>
      </c>
      <c r="S9" s="156" t="s">
        <v>41</v>
      </c>
      <c r="T9" s="156" t="s">
        <v>42</v>
      </c>
      <c r="U9" s="156" t="s">
        <v>43</v>
      </c>
      <c r="V9" s="156" t="s">
        <v>44</v>
      </c>
      <c r="W9" s="156" t="s">
        <v>45</v>
      </c>
      <c r="X9" s="156" t="s">
        <v>46</v>
      </c>
      <c r="Y9" s="164" t="s">
        <v>175</v>
      </c>
      <c r="Z9" s="165" t="s">
        <v>36</v>
      </c>
      <c r="AA9" s="166" t="s">
        <v>38</v>
      </c>
      <c r="AB9" s="165" t="s">
        <v>37</v>
      </c>
      <c r="AC9" s="164" t="s">
        <v>41</v>
      </c>
      <c r="AD9" s="164" t="s">
        <v>42</v>
      </c>
      <c r="AE9" s="164" t="s">
        <v>43</v>
      </c>
      <c r="AF9" s="164" t="s">
        <v>44</v>
      </c>
      <c r="AG9" s="164" t="s">
        <v>45</v>
      </c>
      <c r="AH9" s="164" t="s">
        <v>46</v>
      </c>
    </row>
    <row r="10" spans="1:34" ht="12.75" customHeight="1" thickTop="1">
      <c r="A10" s="104" t="s">
        <v>8</v>
      </c>
      <c r="B10" s="138" t="s">
        <v>159</v>
      </c>
      <c r="C10" s="104" t="s">
        <v>48</v>
      </c>
      <c r="D10" s="105" t="s">
        <v>99</v>
      </c>
      <c r="E10" s="104">
        <v>395</v>
      </c>
      <c r="F10" s="104">
        <v>8</v>
      </c>
      <c r="G10" s="93" t="s">
        <v>6</v>
      </c>
      <c r="H10" s="106">
        <f t="shared" ref="H10:H20" ca="1" si="0">S10</f>
        <v>70777.948805688924</v>
      </c>
      <c r="I10" s="106">
        <f t="shared" ref="I10:I20" ca="1" si="1">T10</f>
        <v>73604.983754034067</v>
      </c>
      <c r="J10" s="106">
        <f t="shared" ref="J10:J20" ca="1" si="2">U10</f>
        <v>76545.100100313022</v>
      </c>
      <c r="K10" s="106">
        <f t="shared" ref="K10:K20" ca="1" si="3">V10</f>
        <v>79602.821100443107</v>
      </c>
      <c r="L10" s="106">
        <f t="shared" ref="L10:L20" ca="1" si="4">W10</f>
        <v>82782.850940578428</v>
      </c>
      <c r="M10" s="106">
        <f t="shared" ref="M10:M20" ca="1" si="5">X10</f>
        <v>86090.081974319139</v>
      </c>
      <c r="N10" s="106"/>
      <c r="O10" s="157" t="s">
        <v>176</v>
      </c>
      <c r="P10" s="160" t="str">
        <f t="shared" ref="P10:P20" si="6">A10</f>
        <v>03960C</v>
      </c>
      <c r="Q10" s="152" t="str">
        <f t="shared" ref="Q10:Q20" si="7">D10</f>
        <v>Engineer</v>
      </c>
      <c r="R10" s="158" t="str">
        <f t="shared" ref="R10:R20" si="8">B10</f>
        <v>13</v>
      </c>
      <c r="S10" s="159" cm="1">
        <f t="array" aca="1" ref="S10" ca="1">IF($O10="Y",VLOOKUP($P10,INDIRECT($P$3),S$7,0)*INDIRECT($P$2),VLOOKUP($P10,INDIRECT($P$3),S$7,0))</f>
        <v>70777.948805688924</v>
      </c>
      <c r="T10" s="159" cm="1">
        <f t="array" aca="1" ref="T10" ca="1">IF($O10="Y",VLOOKUP($P10,INDIRECT($P$3),T$7,0)*INDIRECT($P$2),VLOOKUP($P10,INDIRECT($P$3),T$7,0))</f>
        <v>73604.983754034067</v>
      </c>
      <c r="U10" s="159" cm="1">
        <f t="array" aca="1" ref="U10" ca="1">IF($O10="Y",VLOOKUP($P10,INDIRECT($P$3),U$7,0)*INDIRECT($P$2),VLOOKUP($P10,INDIRECT($P$3),U$7,0))</f>
        <v>76545.100100313022</v>
      </c>
      <c r="V10" s="159" cm="1">
        <f t="array" aca="1" ref="V10" ca="1">IF($O10="Y",VLOOKUP($P10,INDIRECT($P$3),V$7,0)*INDIRECT($P$2),VLOOKUP($P10,INDIRECT($P$3),V$7,0))</f>
        <v>79602.821100443107</v>
      </c>
      <c r="W10" s="159" cm="1">
        <f t="array" aca="1" ref="W10" ca="1">IF($O10="Y",VLOOKUP($P10,INDIRECT($P$3),W$7,0)*INDIRECT($P$2),VLOOKUP($P10,INDIRECT($P$3),W$7,0))</f>
        <v>82782.850940578428</v>
      </c>
      <c r="X10" s="159" cm="1">
        <f t="array" aca="1" ref="X10" ca="1">IF($O10="Y",VLOOKUP($P10,INDIRECT($P$3),X$7,0)*INDIRECT($P$2),VLOOKUP($P10,INDIRECT($P$3),X$7,0))</f>
        <v>86090.081974319139</v>
      </c>
      <c r="Y10" s="167" t="str">
        <f t="shared" ref="Y10:Y20" si="9">O10</f>
        <v>Y</v>
      </c>
      <c r="Z10" s="167" t="str">
        <f t="shared" ref="Z10:Z20" si="10">P10</f>
        <v>03960C</v>
      </c>
      <c r="AA10" s="168" t="str">
        <f t="shared" ref="AA10:AA20" si="11">Q10</f>
        <v>Engineer</v>
      </c>
      <c r="AB10" s="167" t="str">
        <f t="shared" ref="AB10:AB20" si="12">R10</f>
        <v>13</v>
      </c>
      <c r="AC10" s="169">
        <f t="shared" ref="AC10:AC20" ca="1" si="13">ROUND(S10/2080,3)</f>
        <v>34.027999999999999</v>
      </c>
      <c r="AD10" s="169">
        <f t="shared" ref="AD10:AD20" ca="1" si="14">ROUND(T10/2080,3)</f>
        <v>35.387</v>
      </c>
      <c r="AE10" s="169">
        <f t="shared" ref="AE10:AE20" ca="1" si="15">ROUND(U10/2080,3)</f>
        <v>36.801000000000002</v>
      </c>
      <c r="AF10" s="169">
        <f t="shared" ref="AF10:AF20" ca="1" si="16">ROUND(V10/2080,3)</f>
        <v>38.271000000000001</v>
      </c>
      <c r="AG10" s="169">
        <f t="shared" ref="AG10:AG20" ca="1" si="17">ROUND(W10/2080,3)</f>
        <v>39.798999999999999</v>
      </c>
      <c r="AH10" s="169">
        <f t="shared" ref="AH10:AH20" ca="1" si="18">ROUND(X10/2080,3)</f>
        <v>41.389000000000003</v>
      </c>
    </row>
    <row r="11" spans="1:34" ht="12.75" customHeight="1">
      <c r="A11" s="104" t="s">
        <v>78</v>
      </c>
      <c r="B11" s="138" t="s">
        <v>160</v>
      </c>
      <c r="C11" s="104" t="s">
        <v>48</v>
      </c>
      <c r="D11" s="105" t="s">
        <v>92</v>
      </c>
      <c r="E11" s="104">
        <v>470</v>
      </c>
      <c r="F11" s="104">
        <v>10</v>
      </c>
      <c r="G11" s="93" t="s">
        <v>6</v>
      </c>
      <c r="H11" s="106">
        <f t="shared" ca="1" si="0"/>
        <v>86165.933712272395</v>
      </c>
      <c r="I11" s="106">
        <f t="shared" ca="1" si="1"/>
        <v>90473.622386974806</v>
      </c>
      <c r="J11" s="106">
        <f t="shared" ca="1" si="2"/>
        <v>95002.152495237606</v>
      </c>
      <c r="K11" s="106">
        <f t="shared" ca="1" si="3"/>
        <v>99748.792197324059</v>
      </c>
      <c r="L11" s="106">
        <f t="shared" ca="1" si="4"/>
        <v>104714.90741310257</v>
      </c>
      <c r="M11" s="106">
        <f t="shared" ca="1" si="5"/>
        <v>109881.62751151153</v>
      </c>
      <c r="N11" s="106"/>
      <c r="O11" s="157" t="s">
        <v>176</v>
      </c>
      <c r="P11" s="160" t="str">
        <f t="shared" si="6"/>
        <v>04106C</v>
      </c>
      <c r="Q11" s="152" t="str">
        <f t="shared" si="7"/>
        <v xml:space="preserve">Environmental Engineer </v>
      </c>
      <c r="R11" s="158" t="str">
        <f t="shared" si="8"/>
        <v>01</v>
      </c>
      <c r="S11" s="159" cm="1">
        <f t="array" aca="1" ref="S11" ca="1">IF($O11="Y",VLOOKUP($P11,INDIRECT($P$3),S$7,0)*INDIRECT($P$2),VLOOKUP($P11,INDIRECT($P$3),S$7,0))</f>
        <v>86165.933712272395</v>
      </c>
      <c r="T11" s="159" cm="1">
        <f t="array" aca="1" ref="T11" ca="1">IF($O11="Y",VLOOKUP($P11,INDIRECT($P$3),T$7,0)*INDIRECT($P$2),VLOOKUP($P11,INDIRECT($P$3),T$7,0))</f>
        <v>90473.622386974806</v>
      </c>
      <c r="U11" s="159" cm="1">
        <f t="array" aca="1" ref="U11" ca="1">IF($O11="Y",VLOOKUP($P11,INDIRECT($P$3),U$7,0)*INDIRECT($P$2),VLOOKUP($P11,INDIRECT($P$3),U$7,0))</f>
        <v>95002.152495237606</v>
      </c>
      <c r="V11" s="159" cm="1">
        <f t="array" aca="1" ref="V11" ca="1">IF($O11="Y",VLOOKUP($P11,INDIRECT($P$3),V$7,0)*INDIRECT($P$2),VLOOKUP($P11,INDIRECT($P$3),V$7,0))</f>
        <v>99748.792197324059</v>
      </c>
      <c r="W11" s="159" cm="1">
        <f t="array" aca="1" ref="W11" ca="1">IF($O11="Y",VLOOKUP($P11,INDIRECT($P$3),W$7,0)*INDIRECT($P$2),VLOOKUP($P11,INDIRECT($P$3),W$7,0))</f>
        <v>104714.90741310257</v>
      </c>
      <c r="X11" s="159" cm="1">
        <f t="array" aca="1" ref="X11" ca="1">IF($O11="Y",VLOOKUP($P11,INDIRECT($P$3),X$7,0)*INDIRECT($P$2),VLOOKUP($P11,INDIRECT($P$3),X$7,0))</f>
        <v>109881.62751151153</v>
      </c>
      <c r="Y11" s="167" t="str">
        <f t="shared" si="9"/>
        <v>Y</v>
      </c>
      <c r="Z11" s="167" t="str">
        <f t="shared" si="10"/>
        <v>04106C</v>
      </c>
      <c r="AA11" s="168" t="str">
        <f t="shared" si="11"/>
        <v xml:space="preserve">Environmental Engineer </v>
      </c>
      <c r="AB11" s="167" t="str">
        <f t="shared" si="12"/>
        <v>01</v>
      </c>
      <c r="AC11" s="169">
        <f t="shared" ca="1" si="13"/>
        <v>41.426000000000002</v>
      </c>
      <c r="AD11" s="169">
        <f t="shared" ca="1" si="14"/>
        <v>43.497</v>
      </c>
      <c r="AE11" s="169">
        <f t="shared" ca="1" si="15"/>
        <v>45.673999999999999</v>
      </c>
      <c r="AF11" s="169">
        <f t="shared" ca="1" si="16"/>
        <v>47.956000000000003</v>
      </c>
      <c r="AG11" s="169">
        <f t="shared" ca="1" si="17"/>
        <v>50.344000000000001</v>
      </c>
      <c r="AH11" s="169">
        <f t="shared" ca="1" si="18"/>
        <v>52.828000000000003</v>
      </c>
    </row>
    <row r="12" spans="1:34" ht="12.75" customHeight="1">
      <c r="A12" s="104" t="s">
        <v>13</v>
      </c>
      <c r="B12" s="138" t="s">
        <v>160</v>
      </c>
      <c r="C12" s="104" t="s">
        <v>48</v>
      </c>
      <c r="D12" s="105" t="s">
        <v>100</v>
      </c>
      <c r="E12" s="104">
        <v>470</v>
      </c>
      <c r="F12" s="104">
        <v>10</v>
      </c>
      <c r="G12" s="93" t="s">
        <v>6</v>
      </c>
      <c r="H12" s="106">
        <f t="shared" ca="1" si="0"/>
        <v>86165.933712272395</v>
      </c>
      <c r="I12" s="106">
        <f t="shared" ca="1" si="1"/>
        <v>90473.622386974806</v>
      </c>
      <c r="J12" s="106">
        <f t="shared" ca="1" si="2"/>
        <v>95002.152495237606</v>
      </c>
      <c r="K12" s="106">
        <f t="shared" ca="1" si="3"/>
        <v>99748.792197324059</v>
      </c>
      <c r="L12" s="106">
        <f t="shared" ca="1" si="4"/>
        <v>104714.90741310257</v>
      </c>
      <c r="M12" s="106">
        <f t="shared" ca="1" si="5"/>
        <v>109881.62751151153</v>
      </c>
      <c r="N12" s="106"/>
      <c r="O12" s="157" t="s">
        <v>176</v>
      </c>
      <c r="P12" s="160" t="str">
        <f t="shared" si="6"/>
        <v>07890C</v>
      </c>
      <c r="Q12" s="152" t="str">
        <f t="shared" si="7"/>
        <v>Plan Examiner II Engineer</v>
      </c>
      <c r="R12" s="158" t="str">
        <f t="shared" si="8"/>
        <v>01</v>
      </c>
      <c r="S12" s="159" cm="1">
        <f t="array" aca="1" ref="S12" ca="1">IF($O12="Y",VLOOKUP($P12,INDIRECT($P$3),S$7,0)*INDIRECT($P$2),VLOOKUP($P12,INDIRECT($P$3),S$7,0))</f>
        <v>86165.933712272395</v>
      </c>
      <c r="T12" s="159" cm="1">
        <f t="array" aca="1" ref="T12" ca="1">IF($O12="Y",VLOOKUP($P12,INDIRECT($P$3),T$7,0)*INDIRECT($P$2),VLOOKUP($P12,INDIRECT($P$3),T$7,0))</f>
        <v>90473.622386974806</v>
      </c>
      <c r="U12" s="159" cm="1">
        <f t="array" aca="1" ref="U12" ca="1">IF($O12="Y",VLOOKUP($P12,INDIRECT($P$3),U$7,0)*INDIRECT($P$2),VLOOKUP($P12,INDIRECT($P$3),U$7,0))</f>
        <v>95002.152495237606</v>
      </c>
      <c r="V12" s="159" cm="1">
        <f t="array" aca="1" ref="V12" ca="1">IF($O12="Y",VLOOKUP($P12,INDIRECT($P$3),V$7,0)*INDIRECT($P$2),VLOOKUP($P12,INDIRECT($P$3),V$7,0))</f>
        <v>99748.792197324059</v>
      </c>
      <c r="W12" s="159" cm="1">
        <f t="array" aca="1" ref="W12" ca="1">IF($O12="Y",VLOOKUP($P12,INDIRECT($P$3),W$7,0)*INDIRECT($P$2),VLOOKUP($P12,INDIRECT($P$3),W$7,0))</f>
        <v>104714.90741310257</v>
      </c>
      <c r="X12" s="159" cm="1">
        <f t="array" aca="1" ref="X12" ca="1">IF($O12="Y",VLOOKUP($P12,INDIRECT($P$3),X$7,0)*INDIRECT($P$2),VLOOKUP($P12,INDIRECT($P$3),X$7,0))</f>
        <v>109881.62751151153</v>
      </c>
      <c r="Y12" s="167" t="str">
        <f t="shared" si="9"/>
        <v>Y</v>
      </c>
      <c r="Z12" s="167" t="str">
        <f t="shared" si="10"/>
        <v>07890C</v>
      </c>
      <c r="AA12" s="168" t="str">
        <f t="shared" si="11"/>
        <v>Plan Examiner II Engineer</v>
      </c>
      <c r="AB12" s="167" t="str">
        <f t="shared" si="12"/>
        <v>01</v>
      </c>
      <c r="AC12" s="169">
        <f t="shared" ca="1" si="13"/>
        <v>41.426000000000002</v>
      </c>
      <c r="AD12" s="169">
        <f t="shared" ca="1" si="14"/>
        <v>43.497</v>
      </c>
      <c r="AE12" s="169">
        <f t="shared" ca="1" si="15"/>
        <v>45.673999999999999</v>
      </c>
      <c r="AF12" s="169">
        <f t="shared" ca="1" si="16"/>
        <v>47.956000000000003</v>
      </c>
      <c r="AG12" s="169">
        <f t="shared" ca="1" si="17"/>
        <v>50.344000000000001</v>
      </c>
      <c r="AH12" s="169">
        <f t="shared" ca="1" si="18"/>
        <v>52.828000000000003</v>
      </c>
    </row>
    <row r="13" spans="1:34" ht="12.75" customHeight="1">
      <c r="A13" s="104" t="s">
        <v>9</v>
      </c>
      <c r="B13" s="138" t="s">
        <v>161</v>
      </c>
      <c r="C13" s="104" t="s">
        <v>48</v>
      </c>
      <c r="D13" s="105" t="s">
        <v>101</v>
      </c>
      <c r="E13" s="104">
        <v>578</v>
      </c>
      <c r="F13" s="104">
        <v>12</v>
      </c>
      <c r="G13" s="93" t="s">
        <v>6</v>
      </c>
      <c r="H13" s="106">
        <f t="shared" ca="1" si="0"/>
        <v>103433.49094254499</v>
      </c>
      <c r="I13" s="106">
        <f t="shared" ca="1" si="1"/>
        <v>108590.57099651352</v>
      </c>
      <c r="J13" s="106">
        <f t="shared" ca="1" si="2"/>
        <v>114032.37186292774</v>
      </c>
      <c r="K13" s="106">
        <f t="shared" ca="1" si="3"/>
        <v>119725.47812260946</v>
      </c>
      <c r="L13" s="106">
        <f t="shared" ca="1" si="4"/>
        <v>125703.30653146059</v>
      </c>
      <c r="M13" s="106">
        <f t="shared" ca="1" si="5"/>
        <v>131906.62205662022</v>
      </c>
      <c r="N13" s="106"/>
      <c r="O13" s="157" t="s">
        <v>176</v>
      </c>
      <c r="P13" s="160" t="str">
        <f t="shared" si="6"/>
        <v>04000C</v>
      </c>
      <c r="Q13" s="152" t="str">
        <f t="shared" si="7"/>
        <v>Principal Professional Engr</v>
      </c>
      <c r="R13" s="158" t="str">
        <f t="shared" si="8"/>
        <v>04</v>
      </c>
      <c r="S13" s="159" cm="1">
        <f t="array" aca="1" ref="S13" ca="1">IF($O13="Y",VLOOKUP($P13,INDIRECT($P$3),S$7,0)*INDIRECT($P$2),VLOOKUP($P13,INDIRECT($P$3),S$7,0))</f>
        <v>103433.49094254499</v>
      </c>
      <c r="T13" s="159" cm="1">
        <f t="array" aca="1" ref="T13" ca="1">IF($O13="Y",VLOOKUP($P13,INDIRECT($P$3),T$7,0)*INDIRECT($P$2),VLOOKUP($P13,INDIRECT($P$3),T$7,0))</f>
        <v>108590.57099651352</v>
      </c>
      <c r="U13" s="159" cm="1">
        <f t="array" aca="1" ref="U13" ca="1">IF($O13="Y",VLOOKUP($P13,INDIRECT($P$3),U$7,0)*INDIRECT($P$2),VLOOKUP($P13,INDIRECT($P$3),U$7,0))</f>
        <v>114032.37186292774</v>
      </c>
      <c r="V13" s="159" cm="1">
        <f t="array" aca="1" ref="V13" ca="1">IF($O13="Y",VLOOKUP($P13,INDIRECT($P$3),V$7,0)*INDIRECT($P$2),VLOOKUP($P13,INDIRECT($P$3),V$7,0))</f>
        <v>119725.47812260946</v>
      </c>
      <c r="W13" s="159" cm="1">
        <f t="array" aca="1" ref="W13" ca="1">IF($O13="Y",VLOOKUP($P13,INDIRECT($P$3),W$7,0)*INDIRECT($P$2),VLOOKUP($P13,INDIRECT($P$3),W$7,0))</f>
        <v>125703.30653146059</v>
      </c>
      <c r="X13" s="159" cm="1">
        <f t="array" aca="1" ref="X13" ca="1">IF($O13="Y",VLOOKUP($P13,INDIRECT($P$3),X$7,0)*INDIRECT($P$2),VLOOKUP($P13,INDIRECT($P$3),X$7,0))</f>
        <v>131906.62205662022</v>
      </c>
      <c r="Y13" s="167" t="str">
        <f t="shared" si="9"/>
        <v>Y</v>
      </c>
      <c r="Z13" s="167" t="str">
        <f t="shared" si="10"/>
        <v>04000C</v>
      </c>
      <c r="AA13" s="168" t="str">
        <f t="shared" si="11"/>
        <v>Principal Professional Engr</v>
      </c>
      <c r="AB13" s="167" t="str">
        <f t="shared" si="12"/>
        <v>04</v>
      </c>
      <c r="AC13" s="169">
        <f t="shared" ca="1" si="13"/>
        <v>49.728000000000002</v>
      </c>
      <c r="AD13" s="169">
        <f t="shared" ca="1" si="14"/>
        <v>52.207000000000001</v>
      </c>
      <c r="AE13" s="169">
        <f t="shared" ca="1" si="15"/>
        <v>54.823</v>
      </c>
      <c r="AF13" s="169">
        <f t="shared" ca="1" si="16"/>
        <v>57.56</v>
      </c>
      <c r="AG13" s="169">
        <f t="shared" ca="1" si="17"/>
        <v>60.433999999999997</v>
      </c>
      <c r="AH13" s="169">
        <f t="shared" ca="1" si="18"/>
        <v>63.417000000000002</v>
      </c>
    </row>
    <row r="14" spans="1:34" ht="12.75" customHeight="1">
      <c r="A14" s="104" t="s">
        <v>10</v>
      </c>
      <c r="B14" s="138" t="s">
        <v>160</v>
      </c>
      <c r="C14" s="104" t="s">
        <v>48</v>
      </c>
      <c r="D14" s="105" t="s">
        <v>102</v>
      </c>
      <c r="E14" s="104">
        <v>485</v>
      </c>
      <c r="F14" s="104">
        <v>10</v>
      </c>
      <c r="G14" s="93" t="s">
        <v>6</v>
      </c>
      <c r="H14" s="106">
        <f t="shared" ca="1" si="0"/>
        <v>86165.933712272395</v>
      </c>
      <c r="I14" s="106">
        <f t="shared" ca="1" si="1"/>
        <v>90473.622386974806</v>
      </c>
      <c r="J14" s="106">
        <f t="shared" ca="1" si="2"/>
        <v>95002.152495237606</v>
      </c>
      <c r="K14" s="106">
        <f t="shared" ca="1" si="3"/>
        <v>99748.792197324059</v>
      </c>
      <c r="L14" s="106">
        <f t="shared" ca="1" si="4"/>
        <v>104714.90741310257</v>
      </c>
      <c r="M14" s="106">
        <f t="shared" ca="1" si="5"/>
        <v>109881.62751151153</v>
      </c>
      <c r="N14" s="106"/>
      <c r="O14" s="157" t="s">
        <v>176</v>
      </c>
      <c r="P14" s="160" t="str">
        <f t="shared" si="6"/>
        <v>03980C</v>
      </c>
      <c r="Q14" s="152" t="str">
        <f t="shared" si="7"/>
        <v>Professional Engineer</v>
      </c>
      <c r="R14" s="158" t="str">
        <f t="shared" si="8"/>
        <v>01</v>
      </c>
      <c r="S14" s="159" cm="1">
        <f t="array" aca="1" ref="S14" ca="1">IF($O14="Y",VLOOKUP($P14,INDIRECT($P$3),S$7,0)*INDIRECT($P$2),VLOOKUP($P14,INDIRECT($P$3),S$7,0))</f>
        <v>86165.933712272395</v>
      </c>
      <c r="T14" s="159" cm="1">
        <f t="array" aca="1" ref="T14" ca="1">IF($O14="Y",VLOOKUP($P14,INDIRECT($P$3),T$7,0)*INDIRECT($P$2),VLOOKUP($P14,INDIRECT($P$3),T$7,0))</f>
        <v>90473.622386974806</v>
      </c>
      <c r="U14" s="159" cm="1">
        <f t="array" aca="1" ref="U14" ca="1">IF($O14="Y",VLOOKUP($P14,INDIRECT($P$3),U$7,0)*INDIRECT($P$2),VLOOKUP($P14,INDIRECT($P$3),U$7,0))</f>
        <v>95002.152495237606</v>
      </c>
      <c r="V14" s="159" cm="1">
        <f t="array" aca="1" ref="V14" ca="1">IF($O14="Y",VLOOKUP($P14,INDIRECT($P$3),V$7,0)*INDIRECT($P$2),VLOOKUP($P14,INDIRECT($P$3),V$7,0))</f>
        <v>99748.792197324059</v>
      </c>
      <c r="W14" s="159" cm="1">
        <f t="array" aca="1" ref="W14" ca="1">IF($O14="Y",VLOOKUP($P14,INDIRECT($P$3),W$7,0)*INDIRECT($P$2),VLOOKUP($P14,INDIRECT($P$3),W$7,0))</f>
        <v>104714.90741310257</v>
      </c>
      <c r="X14" s="159" cm="1">
        <f t="array" aca="1" ref="X14" ca="1">IF($O14="Y",VLOOKUP($P14,INDIRECT($P$3),X$7,0)*INDIRECT($P$2),VLOOKUP($P14,INDIRECT($P$3),X$7,0))</f>
        <v>109881.62751151153</v>
      </c>
      <c r="Y14" s="167" t="str">
        <f t="shared" si="9"/>
        <v>Y</v>
      </c>
      <c r="Z14" s="167" t="str">
        <f t="shared" si="10"/>
        <v>03980C</v>
      </c>
      <c r="AA14" s="168" t="str">
        <f t="shared" si="11"/>
        <v>Professional Engineer</v>
      </c>
      <c r="AB14" s="167" t="str">
        <f t="shared" si="12"/>
        <v>01</v>
      </c>
      <c r="AC14" s="169">
        <f t="shared" ca="1" si="13"/>
        <v>41.426000000000002</v>
      </c>
      <c r="AD14" s="169">
        <f t="shared" ca="1" si="14"/>
        <v>43.497</v>
      </c>
      <c r="AE14" s="169">
        <f t="shared" ca="1" si="15"/>
        <v>45.673999999999999</v>
      </c>
      <c r="AF14" s="169">
        <f t="shared" ca="1" si="16"/>
        <v>47.956000000000003</v>
      </c>
      <c r="AG14" s="169">
        <f t="shared" ca="1" si="17"/>
        <v>50.344000000000001</v>
      </c>
      <c r="AH14" s="169">
        <f t="shared" ca="1" si="18"/>
        <v>52.828000000000003</v>
      </c>
    </row>
    <row r="15" spans="1:34" ht="12.75" customHeight="1">
      <c r="A15" s="104" t="s">
        <v>11</v>
      </c>
      <c r="B15" s="138" t="s">
        <v>162</v>
      </c>
      <c r="C15" s="104" t="s">
        <v>48</v>
      </c>
      <c r="D15" s="105" t="s">
        <v>103</v>
      </c>
      <c r="E15" s="104">
        <v>523</v>
      </c>
      <c r="F15" s="104">
        <v>11</v>
      </c>
      <c r="G15" s="93" t="s">
        <v>6</v>
      </c>
      <c r="H15" s="106">
        <f t="shared" ca="1" si="0"/>
        <v>94052.362643988337</v>
      </c>
      <c r="I15" s="106">
        <f t="shared" ca="1" si="1"/>
        <v>98745.599572314808</v>
      </c>
      <c r="J15" s="106">
        <f t="shared" ca="1" si="2"/>
        <v>103684.79366236507</v>
      </c>
      <c r="K15" s="106">
        <f t="shared" ca="1" si="3"/>
        <v>108840.53699262865</v>
      </c>
      <c r="L15" s="106">
        <f t="shared" ca="1" si="4"/>
        <v>114283.6772561953</v>
      </c>
      <c r="M15" s="106">
        <f t="shared" ca="1" si="5"/>
        <v>119922.98904695033</v>
      </c>
      <c r="N15" s="106"/>
      <c r="O15" s="157" t="s">
        <v>176</v>
      </c>
      <c r="P15" s="160" t="str">
        <f t="shared" si="6"/>
        <v>03990C</v>
      </c>
      <c r="Q15" s="152" t="str">
        <f t="shared" si="7"/>
        <v>Senior Professional Engineer</v>
      </c>
      <c r="R15" s="158" t="str">
        <f t="shared" si="8"/>
        <v>02</v>
      </c>
      <c r="S15" s="159" cm="1">
        <f t="array" aca="1" ref="S15" ca="1">IF($O15="Y",VLOOKUP($P15,INDIRECT($P$3),S$7,0)*INDIRECT($P$2),VLOOKUP($P15,INDIRECT($P$3),S$7,0))</f>
        <v>94052.362643988337</v>
      </c>
      <c r="T15" s="159" cm="1">
        <f t="array" aca="1" ref="T15" ca="1">IF($O15="Y",VLOOKUP($P15,INDIRECT($P$3),T$7,0)*INDIRECT($P$2),VLOOKUP($P15,INDIRECT($P$3),T$7,0))</f>
        <v>98745.599572314808</v>
      </c>
      <c r="U15" s="159" cm="1">
        <f t="array" aca="1" ref="U15" ca="1">IF($O15="Y",VLOOKUP($P15,INDIRECT($P$3),U$7,0)*INDIRECT($P$2),VLOOKUP($P15,INDIRECT($P$3),U$7,0))</f>
        <v>103684.79366236507</v>
      </c>
      <c r="V15" s="159" cm="1">
        <f t="array" aca="1" ref="V15" ca="1">IF($O15="Y",VLOOKUP($P15,INDIRECT($P$3),V$7,0)*INDIRECT($P$2),VLOOKUP($P15,INDIRECT($P$3),V$7,0))</f>
        <v>108840.53699262865</v>
      </c>
      <c r="W15" s="159" cm="1">
        <f t="array" aca="1" ref="W15" ca="1">IF($O15="Y",VLOOKUP($P15,INDIRECT($P$3),W$7,0)*INDIRECT($P$2),VLOOKUP($P15,INDIRECT($P$3),W$7,0))</f>
        <v>114283.6772561953</v>
      </c>
      <c r="X15" s="159" cm="1">
        <f t="array" aca="1" ref="X15" ca="1">IF($O15="Y",VLOOKUP($P15,INDIRECT($P$3),X$7,0)*INDIRECT($P$2),VLOOKUP($P15,INDIRECT($P$3),X$7,0))</f>
        <v>119922.98904695033</v>
      </c>
      <c r="Y15" s="167" t="str">
        <f t="shared" si="9"/>
        <v>Y</v>
      </c>
      <c r="Z15" s="167" t="str">
        <f t="shared" si="10"/>
        <v>03990C</v>
      </c>
      <c r="AA15" s="168" t="str">
        <f t="shared" si="11"/>
        <v>Senior Professional Engineer</v>
      </c>
      <c r="AB15" s="167" t="str">
        <f t="shared" si="12"/>
        <v>02</v>
      </c>
      <c r="AC15" s="169">
        <f t="shared" ca="1" si="13"/>
        <v>45.216999999999999</v>
      </c>
      <c r="AD15" s="169">
        <f t="shared" ca="1" si="14"/>
        <v>47.473999999999997</v>
      </c>
      <c r="AE15" s="169">
        <f t="shared" ca="1" si="15"/>
        <v>49.847999999999999</v>
      </c>
      <c r="AF15" s="169">
        <f t="shared" ca="1" si="16"/>
        <v>52.326999999999998</v>
      </c>
      <c r="AG15" s="169">
        <f t="shared" ca="1" si="17"/>
        <v>54.944000000000003</v>
      </c>
      <c r="AH15" s="169">
        <f t="shared" ca="1" si="18"/>
        <v>57.655000000000001</v>
      </c>
    </row>
    <row r="16" spans="1:34" ht="12.75" customHeight="1">
      <c r="A16" s="104" t="s">
        <v>172</v>
      </c>
      <c r="B16" s="138" t="s">
        <v>163</v>
      </c>
      <c r="C16" s="104" t="s">
        <v>48</v>
      </c>
      <c r="D16" s="105" t="s">
        <v>173</v>
      </c>
      <c r="E16" s="104">
        <v>625</v>
      </c>
      <c r="F16" s="104">
        <v>13</v>
      </c>
      <c r="G16" s="93" t="s">
        <v>6</v>
      </c>
      <c r="H16" s="106">
        <f t="shared" ca="1" si="0"/>
        <v>109162.68874226227</v>
      </c>
      <c r="I16" s="106">
        <f t="shared" ca="1" si="1"/>
        <v>114604.48960867646</v>
      </c>
      <c r="J16" s="106">
        <f t="shared" ca="1" si="2"/>
        <v>120333.68740839376</v>
      </c>
      <c r="K16" s="106">
        <f t="shared" ca="1" si="3"/>
        <v>126348.94541770914</v>
      </c>
      <c r="L16" s="106">
        <f t="shared" ca="1" si="4"/>
        <v>132650.26096317513</v>
      </c>
      <c r="M16" s="106">
        <f t="shared" ca="1" si="5"/>
        <v>139196.67941644057</v>
      </c>
      <c r="N16" s="106"/>
      <c r="O16" s="157" t="s">
        <v>176</v>
      </c>
      <c r="P16" s="160" t="str">
        <f t="shared" si="6"/>
        <v>53044C</v>
      </c>
      <c r="Q16" s="152" t="str">
        <f t="shared" si="7"/>
        <v>Sewer Operations Engineer</v>
      </c>
      <c r="R16" s="158" t="str">
        <f t="shared" si="8"/>
        <v>05</v>
      </c>
      <c r="S16" s="159" cm="1">
        <f t="array" aca="1" ref="S16" ca="1">IF($O16="Y",VLOOKUP($P16,INDIRECT($P$3),S$7,0)*INDIRECT($P$2),VLOOKUP($P16,INDIRECT($P$3),S$7,0))</f>
        <v>109162.68874226227</v>
      </c>
      <c r="T16" s="159" cm="1">
        <f t="array" aca="1" ref="T16" ca="1">IF($O16="Y",VLOOKUP($P16,INDIRECT($P$3),T$7,0)*INDIRECT($P$2),VLOOKUP($P16,INDIRECT($P$3),T$7,0))</f>
        <v>114604.48960867646</v>
      </c>
      <c r="U16" s="159" cm="1">
        <f t="array" aca="1" ref="U16" ca="1">IF($O16="Y",VLOOKUP($P16,INDIRECT($P$3),U$7,0)*INDIRECT($P$2),VLOOKUP($P16,INDIRECT($P$3),U$7,0))</f>
        <v>120333.68740839376</v>
      </c>
      <c r="V16" s="159" cm="1">
        <f t="array" aca="1" ref="V16" ca="1">IF($O16="Y",VLOOKUP($P16,INDIRECT($P$3),V$7,0)*INDIRECT($P$2),VLOOKUP($P16,INDIRECT($P$3),V$7,0))</f>
        <v>126348.94541770914</v>
      </c>
      <c r="W16" s="159" cm="1">
        <f t="array" aca="1" ref="W16" ca="1">IF($O16="Y",VLOOKUP($P16,INDIRECT($P$3),W$7,0)*INDIRECT($P$2),VLOOKUP($P16,INDIRECT($P$3),W$7,0))</f>
        <v>132650.26096317513</v>
      </c>
      <c r="X16" s="159" cm="1">
        <f t="array" aca="1" ref="X16" ca="1">IF($O16="Y",VLOOKUP($P16,INDIRECT($P$3),X$7,0)*INDIRECT($P$2),VLOOKUP($P16,INDIRECT($P$3),X$7,0))</f>
        <v>139196.67941644057</v>
      </c>
      <c r="Y16" s="167" t="str">
        <f t="shared" si="9"/>
        <v>Y</v>
      </c>
      <c r="Z16" s="167" t="str">
        <f t="shared" si="10"/>
        <v>53044C</v>
      </c>
      <c r="AA16" s="168" t="str">
        <f t="shared" si="11"/>
        <v>Sewer Operations Engineer</v>
      </c>
      <c r="AB16" s="167" t="str">
        <f t="shared" si="12"/>
        <v>05</v>
      </c>
      <c r="AC16" s="169">
        <f t="shared" ca="1" si="13"/>
        <v>52.481999999999999</v>
      </c>
      <c r="AD16" s="169">
        <f t="shared" ca="1" si="14"/>
        <v>55.097999999999999</v>
      </c>
      <c r="AE16" s="169">
        <f t="shared" ca="1" si="15"/>
        <v>57.853000000000002</v>
      </c>
      <c r="AF16" s="169">
        <f t="shared" ca="1" si="16"/>
        <v>60.744999999999997</v>
      </c>
      <c r="AG16" s="169">
        <f t="shared" ca="1" si="17"/>
        <v>63.774000000000001</v>
      </c>
      <c r="AH16" s="169">
        <f t="shared" ca="1" si="18"/>
        <v>66.921000000000006</v>
      </c>
    </row>
    <row r="17" spans="1:34" ht="12.75" customHeight="1">
      <c r="A17" s="104" t="s">
        <v>16</v>
      </c>
      <c r="B17" s="138" t="s">
        <v>163</v>
      </c>
      <c r="C17" s="104" t="s">
        <v>48</v>
      </c>
      <c r="D17" s="105" t="s">
        <v>104</v>
      </c>
      <c r="E17" s="104">
        <v>625</v>
      </c>
      <c r="F17" s="104">
        <v>13</v>
      </c>
      <c r="G17" s="93" t="s">
        <v>6</v>
      </c>
      <c r="H17" s="106">
        <f t="shared" ca="1" si="0"/>
        <v>109162.68874226227</v>
      </c>
      <c r="I17" s="106">
        <f t="shared" ca="1" si="1"/>
        <v>114604.48960867646</v>
      </c>
      <c r="J17" s="106">
        <f t="shared" ca="1" si="2"/>
        <v>120333.68740839376</v>
      </c>
      <c r="K17" s="106">
        <f t="shared" ca="1" si="3"/>
        <v>126348.94541770914</v>
      </c>
      <c r="L17" s="106">
        <f t="shared" ca="1" si="4"/>
        <v>132650.26096317513</v>
      </c>
      <c r="M17" s="106">
        <f t="shared" ca="1" si="5"/>
        <v>139196.67941644057</v>
      </c>
      <c r="N17" s="106"/>
      <c r="O17" s="157" t="s">
        <v>176</v>
      </c>
      <c r="P17" s="160" t="str">
        <f t="shared" si="6"/>
        <v>09440C</v>
      </c>
      <c r="Q17" s="152" t="str">
        <f t="shared" si="7"/>
        <v>Street Maintenance Engineer</v>
      </c>
      <c r="R17" s="158" t="str">
        <f t="shared" si="8"/>
        <v>05</v>
      </c>
      <c r="S17" s="159" cm="1">
        <f t="array" aca="1" ref="S17" ca="1">IF($O17="Y",VLOOKUP($P17,INDIRECT($P$3),S$7,0)*INDIRECT($P$2),VLOOKUP($P17,INDIRECT($P$3),S$7,0))</f>
        <v>109162.68874226227</v>
      </c>
      <c r="T17" s="159" cm="1">
        <f t="array" aca="1" ref="T17" ca="1">IF($O17="Y",VLOOKUP($P17,INDIRECT($P$3),T$7,0)*INDIRECT($P$2),VLOOKUP($P17,INDIRECT($P$3),T$7,0))</f>
        <v>114604.48960867646</v>
      </c>
      <c r="U17" s="159" cm="1">
        <f t="array" aca="1" ref="U17" ca="1">IF($O17="Y",VLOOKUP($P17,INDIRECT($P$3),U$7,0)*INDIRECT($P$2),VLOOKUP($P17,INDIRECT($P$3),U$7,0))</f>
        <v>120333.68740839376</v>
      </c>
      <c r="V17" s="159" cm="1">
        <f t="array" aca="1" ref="V17" ca="1">IF($O17="Y",VLOOKUP($P17,INDIRECT($P$3),V$7,0)*INDIRECT($P$2),VLOOKUP($P17,INDIRECT($P$3),V$7,0))</f>
        <v>126348.94541770914</v>
      </c>
      <c r="W17" s="159" cm="1">
        <f t="array" aca="1" ref="W17" ca="1">IF($O17="Y",VLOOKUP($P17,INDIRECT($P$3),W$7,0)*INDIRECT($P$2),VLOOKUP($P17,INDIRECT($P$3),W$7,0))</f>
        <v>132650.26096317513</v>
      </c>
      <c r="X17" s="159" cm="1">
        <f t="array" aca="1" ref="X17" ca="1">IF($O17="Y",VLOOKUP($P17,INDIRECT($P$3),X$7,0)*INDIRECT($P$2),VLOOKUP($P17,INDIRECT($P$3),X$7,0))</f>
        <v>139196.67941644057</v>
      </c>
      <c r="Y17" s="167" t="str">
        <f t="shared" si="9"/>
        <v>Y</v>
      </c>
      <c r="Z17" s="167" t="str">
        <f t="shared" si="10"/>
        <v>09440C</v>
      </c>
      <c r="AA17" s="168" t="str">
        <f t="shared" si="11"/>
        <v>Street Maintenance Engineer</v>
      </c>
      <c r="AB17" s="167" t="str">
        <f t="shared" si="12"/>
        <v>05</v>
      </c>
      <c r="AC17" s="169">
        <f t="shared" ca="1" si="13"/>
        <v>52.481999999999999</v>
      </c>
      <c r="AD17" s="169">
        <f t="shared" ca="1" si="14"/>
        <v>55.097999999999999</v>
      </c>
      <c r="AE17" s="169">
        <f t="shared" ca="1" si="15"/>
        <v>57.853000000000002</v>
      </c>
      <c r="AF17" s="169">
        <f t="shared" ca="1" si="16"/>
        <v>60.744999999999997</v>
      </c>
      <c r="AG17" s="169">
        <f t="shared" ca="1" si="17"/>
        <v>63.774000000000001</v>
      </c>
      <c r="AH17" s="169">
        <f t="shared" ca="1" si="18"/>
        <v>66.921000000000006</v>
      </c>
    </row>
    <row r="18" spans="1:34" ht="12.75" customHeight="1">
      <c r="A18" s="104" t="s">
        <v>18</v>
      </c>
      <c r="B18" s="138" t="s">
        <v>163</v>
      </c>
      <c r="C18" s="104" t="s">
        <v>48</v>
      </c>
      <c r="D18" s="105" t="s">
        <v>105</v>
      </c>
      <c r="E18" s="104">
        <v>588</v>
      </c>
      <c r="F18" s="104">
        <v>13</v>
      </c>
      <c r="G18" s="93" t="s">
        <v>6</v>
      </c>
      <c r="H18" s="106">
        <f t="shared" ca="1" si="0"/>
        <v>109162.68874226227</v>
      </c>
      <c r="I18" s="106">
        <f t="shared" ca="1" si="1"/>
        <v>114604.48960867646</v>
      </c>
      <c r="J18" s="106">
        <f t="shared" ca="1" si="2"/>
        <v>120333.68740839376</v>
      </c>
      <c r="K18" s="106">
        <f t="shared" ca="1" si="3"/>
        <v>126348.94541770914</v>
      </c>
      <c r="L18" s="106">
        <f t="shared" ca="1" si="4"/>
        <v>132650.26096317513</v>
      </c>
      <c r="M18" s="106">
        <f t="shared" ca="1" si="5"/>
        <v>139196.67941644057</v>
      </c>
      <c r="N18" s="106"/>
      <c r="O18" s="157" t="s">
        <v>176</v>
      </c>
      <c r="P18" s="160" t="str">
        <f t="shared" si="6"/>
        <v>09750C</v>
      </c>
      <c r="Q18" s="152" t="str">
        <f t="shared" si="7"/>
        <v>Supt, Environmental Engnrg</v>
      </c>
      <c r="R18" s="158" t="str">
        <f t="shared" si="8"/>
        <v>05</v>
      </c>
      <c r="S18" s="159" cm="1">
        <f t="array" aca="1" ref="S18" ca="1">IF($O18="Y",VLOOKUP($P18,INDIRECT($P$3),S$7,0)*INDIRECT($P$2),VLOOKUP($P18,INDIRECT($P$3),S$7,0))</f>
        <v>109162.68874226227</v>
      </c>
      <c r="T18" s="159" cm="1">
        <f t="array" aca="1" ref="T18" ca="1">IF($O18="Y",VLOOKUP($P18,INDIRECT($P$3),T$7,0)*INDIRECT($P$2),VLOOKUP($P18,INDIRECT($P$3),T$7,0))</f>
        <v>114604.48960867646</v>
      </c>
      <c r="U18" s="159" cm="1">
        <f t="array" aca="1" ref="U18" ca="1">IF($O18="Y",VLOOKUP($P18,INDIRECT($P$3),U$7,0)*INDIRECT($P$2),VLOOKUP($P18,INDIRECT($P$3),U$7,0))</f>
        <v>120333.68740839376</v>
      </c>
      <c r="V18" s="159" cm="1">
        <f t="array" aca="1" ref="V18" ca="1">IF($O18="Y",VLOOKUP($P18,INDIRECT($P$3),V$7,0)*INDIRECT($P$2),VLOOKUP($P18,INDIRECT($P$3),V$7,0))</f>
        <v>126348.94541770914</v>
      </c>
      <c r="W18" s="159" cm="1">
        <f t="array" aca="1" ref="W18" ca="1">IF($O18="Y",VLOOKUP($P18,INDIRECT($P$3),W$7,0)*INDIRECT($P$2),VLOOKUP($P18,INDIRECT($P$3),W$7,0))</f>
        <v>132650.26096317513</v>
      </c>
      <c r="X18" s="159" cm="1">
        <f t="array" aca="1" ref="X18" ca="1">IF($O18="Y",VLOOKUP($P18,INDIRECT($P$3),X$7,0)*INDIRECT($P$2),VLOOKUP($P18,INDIRECT($P$3),X$7,0))</f>
        <v>139196.67941644057</v>
      </c>
      <c r="Y18" s="167" t="str">
        <f t="shared" si="9"/>
        <v>Y</v>
      </c>
      <c r="Z18" s="167" t="str">
        <f t="shared" si="10"/>
        <v>09750C</v>
      </c>
      <c r="AA18" s="168" t="str">
        <f t="shared" si="11"/>
        <v>Supt, Environmental Engnrg</v>
      </c>
      <c r="AB18" s="167" t="str">
        <f t="shared" si="12"/>
        <v>05</v>
      </c>
      <c r="AC18" s="169">
        <f t="shared" ca="1" si="13"/>
        <v>52.481999999999999</v>
      </c>
      <c r="AD18" s="169">
        <f t="shared" ca="1" si="14"/>
        <v>55.097999999999999</v>
      </c>
      <c r="AE18" s="169">
        <f t="shared" ca="1" si="15"/>
        <v>57.853000000000002</v>
      </c>
      <c r="AF18" s="169">
        <f t="shared" ca="1" si="16"/>
        <v>60.744999999999997</v>
      </c>
      <c r="AG18" s="169">
        <f t="shared" ca="1" si="17"/>
        <v>63.774000000000001</v>
      </c>
      <c r="AH18" s="169">
        <f t="shared" ca="1" si="18"/>
        <v>66.921000000000006</v>
      </c>
    </row>
    <row r="19" spans="1:34" ht="12.75" customHeight="1">
      <c r="A19" s="104" t="s">
        <v>20</v>
      </c>
      <c r="B19" s="138" t="s">
        <v>163</v>
      </c>
      <c r="C19" s="104" t="s">
        <v>48</v>
      </c>
      <c r="D19" s="105" t="s">
        <v>107</v>
      </c>
      <c r="E19" s="104">
        <v>605</v>
      </c>
      <c r="F19" s="104">
        <v>13</v>
      </c>
      <c r="G19" s="93" t="s">
        <v>6</v>
      </c>
      <c r="H19" s="106">
        <f t="shared" ca="1" si="0"/>
        <v>109162.68874226227</v>
      </c>
      <c r="I19" s="106">
        <f t="shared" ca="1" si="1"/>
        <v>114604.48960867646</v>
      </c>
      <c r="J19" s="106">
        <f t="shared" ca="1" si="2"/>
        <v>120333.68740839376</v>
      </c>
      <c r="K19" s="106">
        <f t="shared" ca="1" si="3"/>
        <v>126348.94541770914</v>
      </c>
      <c r="L19" s="106">
        <f t="shared" ca="1" si="4"/>
        <v>132650.26096317513</v>
      </c>
      <c r="M19" s="106">
        <f t="shared" ca="1" si="5"/>
        <v>139196.67941644057</v>
      </c>
      <c r="N19" s="106"/>
      <c r="O19" s="157" t="s">
        <v>176</v>
      </c>
      <c r="P19" s="160" t="str">
        <f t="shared" si="6"/>
        <v>09790C</v>
      </c>
      <c r="Q19" s="152" t="str">
        <f t="shared" si="7"/>
        <v xml:space="preserve">Supt, Water Plant Operations </v>
      </c>
      <c r="R19" s="158" t="str">
        <f t="shared" si="8"/>
        <v>05</v>
      </c>
      <c r="S19" s="159" cm="1">
        <f t="array" aca="1" ref="S19" ca="1">IF($O19="Y",VLOOKUP($P19,INDIRECT($P$3),S$7,0)*INDIRECT($P$2),VLOOKUP($P19,INDIRECT($P$3),S$7,0))</f>
        <v>109162.68874226227</v>
      </c>
      <c r="T19" s="159" cm="1">
        <f t="array" aca="1" ref="T19" ca="1">IF($O19="Y",VLOOKUP($P19,INDIRECT($P$3),T$7,0)*INDIRECT($P$2),VLOOKUP($P19,INDIRECT($P$3),T$7,0))</f>
        <v>114604.48960867646</v>
      </c>
      <c r="U19" s="159" cm="1">
        <f t="array" aca="1" ref="U19" ca="1">IF($O19="Y",VLOOKUP($P19,INDIRECT($P$3),U$7,0)*INDIRECT($P$2),VLOOKUP($P19,INDIRECT($P$3),U$7,0))</f>
        <v>120333.68740839376</v>
      </c>
      <c r="V19" s="159" cm="1">
        <f t="array" aca="1" ref="V19" ca="1">IF($O19="Y",VLOOKUP($P19,INDIRECT($P$3),V$7,0)*INDIRECT($P$2),VLOOKUP($P19,INDIRECT($P$3),V$7,0))</f>
        <v>126348.94541770914</v>
      </c>
      <c r="W19" s="159" cm="1">
        <f t="array" aca="1" ref="W19" ca="1">IF($O19="Y",VLOOKUP($P19,INDIRECT($P$3),W$7,0)*INDIRECT($P$2),VLOOKUP($P19,INDIRECT($P$3),W$7,0))</f>
        <v>132650.26096317513</v>
      </c>
      <c r="X19" s="159" cm="1">
        <f t="array" aca="1" ref="X19" ca="1">IF($O19="Y",VLOOKUP($P19,INDIRECT($P$3),X$7,0)*INDIRECT($P$2),VLOOKUP($P19,INDIRECT($P$3),X$7,0))</f>
        <v>139196.67941644057</v>
      </c>
      <c r="Y19" s="167" t="str">
        <f t="shared" si="9"/>
        <v>Y</v>
      </c>
      <c r="Z19" s="167" t="str">
        <f t="shared" si="10"/>
        <v>09790C</v>
      </c>
      <c r="AA19" s="168" t="str">
        <f t="shared" si="11"/>
        <v xml:space="preserve">Supt, Water Plant Operations </v>
      </c>
      <c r="AB19" s="167" t="str">
        <f t="shared" si="12"/>
        <v>05</v>
      </c>
      <c r="AC19" s="169">
        <f t="shared" ca="1" si="13"/>
        <v>52.481999999999999</v>
      </c>
      <c r="AD19" s="169">
        <f t="shared" ca="1" si="14"/>
        <v>55.097999999999999</v>
      </c>
      <c r="AE19" s="169">
        <f t="shared" ca="1" si="15"/>
        <v>57.853000000000002</v>
      </c>
      <c r="AF19" s="169">
        <f t="shared" ca="1" si="16"/>
        <v>60.744999999999997</v>
      </c>
      <c r="AG19" s="169">
        <f t="shared" ca="1" si="17"/>
        <v>63.774000000000001</v>
      </c>
      <c r="AH19" s="169">
        <f t="shared" ca="1" si="18"/>
        <v>66.921000000000006</v>
      </c>
    </row>
    <row r="20" spans="1:34" ht="12.75" customHeight="1">
      <c r="A20" s="104" t="s">
        <v>127</v>
      </c>
      <c r="B20" s="139" t="s">
        <v>163</v>
      </c>
      <c r="C20" s="104" t="s">
        <v>48</v>
      </c>
      <c r="D20" s="105" t="s">
        <v>125</v>
      </c>
      <c r="E20" s="104">
        <v>600</v>
      </c>
      <c r="F20" s="104">
        <v>13</v>
      </c>
      <c r="G20" s="93" t="s">
        <v>6</v>
      </c>
      <c r="H20" s="106">
        <f t="shared" ca="1" si="0"/>
        <v>109162.68874226227</v>
      </c>
      <c r="I20" s="106">
        <f t="shared" ca="1" si="1"/>
        <v>114604.48960867646</v>
      </c>
      <c r="J20" s="106">
        <f t="shared" ca="1" si="2"/>
        <v>120333.68740839376</v>
      </c>
      <c r="K20" s="106">
        <f t="shared" ca="1" si="3"/>
        <v>126348.94541770914</v>
      </c>
      <c r="L20" s="106">
        <f t="shared" ca="1" si="4"/>
        <v>132650.26096317513</v>
      </c>
      <c r="M20" s="106">
        <f t="shared" ca="1" si="5"/>
        <v>139196.67941644057</v>
      </c>
      <c r="N20" s="106"/>
      <c r="O20" s="157" t="s">
        <v>176</v>
      </c>
      <c r="P20" s="160" t="str">
        <f t="shared" si="6"/>
        <v>10625C</v>
      </c>
      <c r="Q20" s="152" t="str">
        <f t="shared" si="7"/>
        <v>Traffic Operations Engineer</v>
      </c>
      <c r="R20" s="158" t="str">
        <f t="shared" si="8"/>
        <v>05</v>
      </c>
      <c r="S20" s="159" cm="1">
        <f t="array" aca="1" ref="S20" ca="1">IF($O20="Y",VLOOKUP($P20,INDIRECT($P$3),S$7,0)*INDIRECT($P$2),VLOOKUP($P20,INDIRECT($P$3),S$7,0))</f>
        <v>109162.68874226227</v>
      </c>
      <c r="T20" s="159" cm="1">
        <f t="array" aca="1" ref="T20" ca="1">IF($O20="Y",VLOOKUP($P20,INDIRECT($P$3),T$7,0)*INDIRECT($P$2),VLOOKUP($P20,INDIRECT($P$3),T$7,0))</f>
        <v>114604.48960867646</v>
      </c>
      <c r="U20" s="159" cm="1">
        <f t="array" aca="1" ref="U20" ca="1">IF($O20="Y",VLOOKUP($P20,INDIRECT($P$3),U$7,0)*INDIRECT($P$2),VLOOKUP($P20,INDIRECT($P$3),U$7,0))</f>
        <v>120333.68740839376</v>
      </c>
      <c r="V20" s="159" cm="1">
        <f t="array" aca="1" ref="V20" ca="1">IF($O20="Y",VLOOKUP($P20,INDIRECT($P$3),V$7,0)*INDIRECT($P$2),VLOOKUP($P20,INDIRECT($P$3),V$7,0))</f>
        <v>126348.94541770914</v>
      </c>
      <c r="W20" s="159" cm="1">
        <f t="array" aca="1" ref="W20" ca="1">IF($O20="Y",VLOOKUP($P20,INDIRECT($P$3),W$7,0)*INDIRECT($P$2),VLOOKUP($P20,INDIRECT($P$3),W$7,0))</f>
        <v>132650.26096317513</v>
      </c>
      <c r="X20" s="159" cm="1">
        <f t="array" aca="1" ref="X20" ca="1">IF($O20="Y",VLOOKUP($P20,INDIRECT($P$3),X$7,0)*INDIRECT($P$2),VLOOKUP($P20,INDIRECT($P$3),X$7,0))</f>
        <v>139196.67941644057</v>
      </c>
      <c r="Y20" s="167" t="str">
        <f t="shared" si="9"/>
        <v>Y</v>
      </c>
      <c r="Z20" s="167" t="str">
        <f t="shared" si="10"/>
        <v>10625C</v>
      </c>
      <c r="AA20" s="168" t="str">
        <f t="shared" si="11"/>
        <v>Traffic Operations Engineer</v>
      </c>
      <c r="AB20" s="167" t="str">
        <f t="shared" si="12"/>
        <v>05</v>
      </c>
      <c r="AC20" s="169">
        <f t="shared" ca="1" si="13"/>
        <v>52.481999999999999</v>
      </c>
      <c r="AD20" s="169">
        <f t="shared" ca="1" si="14"/>
        <v>55.097999999999999</v>
      </c>
      <c r="AE20" s="169">
        <f t="shared" ca="1" si="15"/>
        <v>57.853000000000002</v>
      </c>
      <c r="AF20" s="169">
        <f t="shared" ca="1" si="16"/>
        <v>60.744999999999997</v>
      </c>
      <c r="AG20" s="169">
        <f t="shared" ca="1" si="17"/>
        <v>63.774000000000001</v>
      </c>
      <c r="AH20" s="169">
        <f t="shared" ca="1" si="18"/>
        <v>66.921000000000006</v>
      </c>
    </row>
    <row r="21" spans="1:34" s="125" customFormat="1">
      <c r="A21" s="93"/>
      <c r="B21" s="93"/>
      <c r="C21" s="93"/>
      <c r="D21" s="93"/>
      <c r="E21" s="93"/>
      <c r="F21" s="93"/>
      <c r="G21" s="93"/>
      <c r="H21" s="93"/>
      <c r="I21" s="93"/>
      <c r="J21" s="93"/>
      <c r="K21" s="93"/>
      <c r="L21" s="93"/>
      <c r="M21" s="93"/>
      <c r="N21" s="93"/>
      <c r="O21" s="152"/>
      <c r="P21" s="160"/>
      <c r="Q21" s="152"/>
      <c r="R21" s="152"/>
      <c r="S21" s="152"/>
      <c r="T21" s="152"/>
      <c r="U21" s="154"/>
      <c r="V21" s="154"/>
      <c r="W21" s="152"/>
      <c r="X21" s="152"/>
      <c r="Y21" s="170"/>
      <c r="Z21" s="170"/>
      <c r="AA21" s="171"/>
      <c r="AB21" s="170"/>
      <c r="AC21" s="170"/>
      <c r="AD21" s="170"/>
      <c r="AE21" s="170"/>
      <c r="AF21" s="170"/>
      <c r="AG21" s="170"/>
      <c r="AH21" s="170"/>
    </row>
    <row r="22" spans="1:34" s="125" customFormat="1">
      <c r="A22" s="115" t="s">
        <v>68</v>
      </c>
      <c r="B22" s="112"/>
      <c r="C22" s="93"/>
      <c r="D22" s="93"/>
      <c r="E22" s="93"/>
      <c r="F22" s="93"/>
      <c r="G22" s="93"/>
      <c r="H22" s="93"/>
      <c r="I22" s="93"/>
      <c r="J22" s="93"/>
      <c r="K22" s="93"/>
      <c r="L22" s="93"/>
      <c r="M22" s="93"/>
      <c r="N22" s="93"/>
      <c r="O22" s="152"/>
      <c r="P22" s="160"/>
      <c r="Q22" s="152"/>
      <c r="R22" s="152"/>
      <c r="S22" s="152"/>
      <c r="T22" s="152"/>
      <c r="U22" s="154"/>
      <c r="V22" s="154"/>
      <c r="W22" s="152"/>
      <c r="X22" s="152"/>
      <c r="Y22" s="170"/>
      <c r="Z22" s="170"/>
      <c r="AA22" s="171"/>
      <c r="AB22" s="170"/>
      <c r="AC22" s="170"/>
      <c r="AD22" s="170"/>
      <c r="AE22" s="170"/>
      <c r="AF22" s="170"/>
      <c r="AG22" s="170"/>
      <c r="AH22" s="170"/>
    </row>
    <row r="23" spans="1:34" s="125" customFormat="1">
      <c r="A23" s="116">
        <f ca="1">S23</f>
        <v>35</v>
      </c>
      <c r="B23" s="112"/>
      <c r="C23" s="93" t="s">
        <v>183</v>
      </c>
      <c r="D23" s="93"/>
      <c r="E23" s="93"/>
      <c r="F23" s="93"/>
      <c r="G23" s="93"/>
      <c r="H23" s="93"/>
      <c r="I23" s="93"/>
      <c r="J23" s="93"/>
      <c r="K23" s="93"/>
      <c r="L23" s="93"/>
      <c r="M23" s="93"/>
      <c r="N23" s="93"/>
      <c r="O23" s="160" t="s">
        <v>184</v>
      </c>
      <c r="P23" s="160" t="s">
        <v>167</v>
      </c>
      <c r="Q23" s="154"/>
      <c r="R23" s="154"/>
      <c r="S23" s="159" cm="1">
        <f t="array" aca="1" ref="S23" ca="1">ROUND(IF($O23="Y",VLOOKUP($P23,INDIRECT($P$3),S$7,0)*INDIRECT($P$2),VLOOKUP($P23,INDIRECT($P$3),S$7,0)),0)</f>
        <v>35</v>
      </c>
      <c r="T23" s="152"/>
      <c r="U23" s="154"/>
      <c r="V23" s="154"/>
      <c r="W23" s="152"/>
      <c r="X23" s="152"/>
      <c r="Y23" s="167" t="str">
        <f t="shared" ref="Y23:Y24" si="19">O23</f>
        <v>N</v>
      </c>
      <c r="Z23" s="167" t="str">
        <f t="shared" ref="Z23:Z24" si="20">P23</f>
        <v>CENCDY</v>
      </c>
      <c r="AA23" s="168"/>
      <c r="AB23" s="167"/>
      <c r="AC23" s="169">
        <f t="shared" ref="AC23:AC24" ca="1" si="21">ROUND(S23/2080,3)</f>
        <v>1.7000000000000001E-2</v>
      </c>
      <c r="AD23" s="170"/>
      <c r="AE23" s="170"/>
      <c r="AF23" s="170"/>
      <c r="AG23" s="170"/>
      <c r="AH23" s="170"/>
    </row>
    <row r="24" spans="1:34" s="125" customFormat="1">
      <c r="A24" s="116">
        <f ca="1">S24</f>
        <v>45</v>
      </c>
      <c r="B24" s="112"/>
      <c r="C24" s="93" t="s">
        <v>182</v>
      </c>
      <c r="D24" s="93"/>
      <c r="E24" s="93"/>
      <c r="F24" s="93"/>
      <c r="G24" s="93"/>
      <c r="H24" s="93"/>
      <c r="I24" s="93"/>
      <c r="J24" s="93"/>
      <c r="K24" s="93"/>
      <c r="L24" s="93"/>
      <c r="M24" s="93"/>
      <c r="N24" s="93"/>
      <c r="O24" s="160" t="s">
        <v>184</v>
      </c>
      <c r="P24" s="160" t="s">
        <v>168</v>
      </c>
      <c r="Q24" s="154"/>
      <c r="R24" s="154"/>
      <c r="S24" s="159" cm="1">
        <f t="array" aca="1" ref="S24" ca="1">ROUND(IF($O24="Y",VLOOKUP($P24,INDIRECT($P$3),S$7,0)*INDIRECT($P$2),VLOOKUP($P24,INDIRECT($P$3),S$7,0)),0)</f>
        <v>45</v>
      </c>
      <c r="T24" s="152"/>
      <c r="U24" s="154"/>
      <c r="V24" s="154"/>
      <c r="W24" s="152"/>
      <c r="X24" s="152"/>
      <c r="Y24" s="167" t="str">
        <f t="shared" si="19"/>
        <v>N</v>
      </c>
      <c r="Z24" s="167" t="str">
        <f t="shared" si="20"/>
        <v>CENCWE</v>
      </c>
      <c r="AA24" s="168"/>
      <c r="AB24" s="167"/>
      <c r="AC24" s="169">
        <f t="shared" ca="1" si="21"/>
        <v>2.1999999999999999E-2</v>
      </c>
      <c r="AD24" s="170"/>
      <c r="AE24" s="170"/>
      <c r="AF24" s="170"/>
      <c r="AG24" s="170"/>
      <c r="AH24" s="170"/>
    </row>
    <row r="25" spans="1:34">
      <c r="O25" s="160"/>
    </row>
    <row r="26" spans="1:34" s="125" customFormat="1">
      <c r="A26" s="94" t="s">
        <v>70</v>
      </c>
      <c r="B26" s="149"/>
      <c r="C26" s="94"/>
      <c r="D26" s="149"/>
      <c r="E26" s="149"/>
      <c r="F26" s="149"/>
      <c r="G26" s="149"/>
      <c r="H26" s="93"/>
      <c r="I26" s="93"/>
      <c r="J26" s="93"/>
      <c r="K26" s="93"/>
      <c r="L26" s="93"/>
      <c r="M26" s="93"/>
      <c r="N26" s="93"/>
      <c r="O26" s="160"/>
      <c r="P26" s="160"/>
      <c r="Q26" s="152"/>
      <c r="R26" s="152"/>
      <c r="S26" s="152"/>
      <c r="T26" s="152"/>
      <c r="U26" s="154"/>
      <c r="V26" s="154"/>
      <c r="W26" s="152"/>
      <c r="X26" s="152"/>
      <c r="Y26" s="170"/>
      <c r="Z26" s="170"/>
      <c r="AA26" s="171"/>
      <c r="AB26" s="170"/>
      <c r="AC26" s="170"/>
      <c r="AD26" s="170"/>
      <c r="AE26" s="170"/>
      <c r="AF26" s="170"/>
      <c r="AG26" s="170"/>
      <c r="AH26" s="170"/>
    </row>
    <row r="27" spans="1:34" s="125" customFormat="1">
      <c r="A27" s="118" t="s">
        <v>133</v>
      </c>
      <c r="B27" s="149"/>
      <c r="C27" s="94"/>
      <c r="D27" s="149"/>
      <c r="E27" s="149"/>
      <c r="F27" s="149"/>
      <c r="G27" s="149"/>
      <c r="H27" s="93"/>
      <c r="I27" s="93"/>
      <c r="J27" s="93"/>
      <c r="K27" s="93"/>
      <c r="L27" s="93"/>
      <c r="M27" s="93"/>
      <c r="N27" s="93"/>
      <c r="O27" s="160"/>
      <c r="P27" s="160"/>
      <c r="Q27" s="152"/>
      <c r="R27" s="152"/>
      <c r="S27" s="152"/>
      <c r="T27" s="152"/>
      <c r="U27" s="154"/>
      <c r="V27" s="154"/>
      <c r="W27" s="152"/>
      <c r="X27" s="152"/>
      <c r="Y27" s="170"/>
      <c r="Z27" s="170"/>
      <c r="AA27" s="171"/>
      <c r="AB27" s="170"/>
      <c r="AC27" s="170"/>
      <c r="AD27" s="170"/>
      <c r="AE27" s="170"/>
      <c r="AF27" s="170"/>
      <c r="AG27" s="170"/>
      <c r="AH27" s="170"/>
    </row>
    <row r="28" spans="1:34" s="125" customFormat="1">
      <c r="A28" s="128">
        <f ca="1">S28</f>
        <v>823.43291855702125</v>
      </c>
      <c r="B28" s="112"/>
      <c r="C28" s="119" t="s">
        <v>24</v>
      </c>
      <c r="D28" s="149"/>
      <c r="E28" s="149"/>
      <c r="F28" s="149"/>
      <c r="G28" s="149"/>
      <c r="H28" s="93"/>
      <c r="I28" s="93"/>
      <c r="J28" s="93"/>
      <c r="K28" s="93"/>
      <c r="L28" s="93"/>
      <c r="M28" s="93"/>
      <c r="N28" s="93"/>
      <c r="O28" s="160" t="s">
        <v>176</v>
      </c>
      <c r="P28" s="160" t="s">
        <v>178</v>
      </c>
      <c r="Q28" s="159"/>
      <c r="R28" s="159"/>
      <c r="S28" s="159" cm="1">
        <f t="array" aca="1" ref="S28" ca="1">IF($O28="Y",VLOOKUP($P28,INDIRECT($P$3),S$7,0)*INDIRECT($P$2),VLOOKUP($P28,INDIRECT($P$3),S$7,0))</f>
        <v>823.43291855702125</v>
      </c>
      <c r="T28" s="152"/>
      <c r="U28" s="154"/>
      <c r="V28" s="154"/>
      <c r="W28" s="152"/>
      <c r="X28" s="152"/>
      <c r="Y28" s="167" t="str">
        <f t="shared" ref="Y28:Y31" si="22">O28</f>
        <v>Y</v>
      </c>
      <c r="Z28" s="167" t="str">
        <f t="shared" ref="Z28:Z31" si="23">P28</f>
        <v>Long10</v>
      </c>
      <c r="AA28" s="168"/>
      <c r="AB28" s="167"/>
      <c r="AC28" s="169">
        <f t="shared" ref="AC28:AC31" ca="1" si="24">ROUND(S28/2080,3)</f>
        <v>0.39600000000000002</v>
      </c>
      <c r="AD28" s="170"/>
      <c r="AE28" s="170"/>
      <c r="AF28" s="170"/>
      <c r="AG28" s="170"/>
      <c r="AH28" s="170"/>
    </row>
    <row r="29" spans="1:34" s="125" customFormat="1">
      <c r="A29" s="128">
        <f ca="1">S29</f>
        <v>1127.1049461697169</v>
      </c>
      <c r="B29" s="112"/>
      <c r="C29" s="119" t="s">
        <v>25</v>
      </c>
      <c r="D29" s="149"/>
      <c r="E29" s="149"/>
      <c r="F29" s="149"/>
      <c r="G29" s="149"/>
      <c r="H29" s="93"/>
      <c r="I29" s="93"/>
      <c r="J29" s="93"/>
      <c r="K29" s="93"/>
      <c r="L29" s="93"/>
      <c r="M29" s="93"/>
      <c r="N29" s="93"/>
      <c r="O29" s="160" t="s">
        <v>176</v>
      </c>
      <c r="P29" s="160" t="s">
        <v>179</v>
      </c>
      <c r="Q29" s="159"/>
      <c r="R29" s="159"/>
      <c r="S29" s="159" cm="1">
        <f t="array" aca="1" ref="S29" ca="1">IF($O29="Y",VLOOKUP($P29,INDIRECT($P$3),S$7,0)*INDIRECT($P$2),VLOOKUP($P29,INDIRECT($P$3),S$7,0))</f>
        <v>1127.1049461697169</v>
      </c>
      <c r="T29" s="152"/>
      <c r="U29" s="154"/>
      <c r="V29" s="154"/>
      <c r="W29" s="152"/>
      <c r="X29" s="152"/>
      <c r="Y29" s="167" t="str">
        <f t="shared" si="22"/>
        <v>Y</v>
      </c>
      <c r="Z29" s="167" t="str">
        <f t="shared" si="23"/>
        <v>Long15</v>
      </c>
      <c r="AA29" s="168"/>
      <c r="AB29" s="167"/>
      <c r="AC29" s="169">
        <f t="shared" ca="1" si="24"/>
        <v>0.54200000000000004</v>
      </c>
      <c r="AD29" s="170"/>
      <c r="AE29" s="170"/>
      <c r="AF29" s="170"/>
      <c r="AG29" s="170"/>
      <c r="AH29" s="170"/>
    </row>
    <row r="30" spans="1:34" s="125" customFormat="1">
      <c r="A30" s="128">
        <f ca="1">S30</f>
        <v>1331.6601357825045</v>
      </c>
      <c r="B30" s="112"/>
      <c r="C30" s="119" t="s">
        <v>26</v>
      </c>
      <c r="D30" s="149"/>
      <c r="E30" s="149"/>
      <c r="F30" s="149"/>
      <c r="G30" s="149"/>
      <c r="H30" s="93"/>
      <c r="I30" s="93"/>
      <c r="J30" s="93"/>
      <c r="K30" s="93"/>
      <c r="L30" s="93"/>
      <c r="M30" s="93"/>
      <c r="N30" s="93"/>
      <c r="O30" s="160" t="s">
        <v>176</v>
      </c>
      <c r="P30" s="160" t="s">
        <v>180</v>
      </c>
      <c r="Q30" s="159"/>
      <c r="R30" s="159"/>
      <c r="S30" s="159" cm="1">
        <f t="array" aca="1" ref="S30" ca="1">IF($O30="Y",VLOOKUP($P30,INDIRECT($P$3),S$7,0)*INDIRECT($P$2),VLOOKUP($P30,INDIRECT($P$3),S$7,0))</f>
        <v>1331.6601357825045</v>
      </c>
      <c r="T30" s="152"/>
      <c r="U30" s="154"/>
      <c r="V30" s="154"/>
      <c r="W30" s="152"/>
      <c r="X30" s="152"/>
      <c r="Y30" s="167" t="str">
        <f t="shared" si="22"/>
        <v>Y</v>
      </c>
      <c r="Z30" s="167" t="str">
        <f t="shared" si="23"/>
        <v>Long20</v>
      </c>
      <c r="AA30" s="168"/>
      <c r="AB30" s="167"/>
      <c r="AC30" s="169">
        <f t="shared" ca="1" si="24"/>
        <v>0.64</v>
      </c>
      <c r="AD30" s="170"/>
      <c r="AE30" s="170"/>
      <c r="AF30" s="170"/>
      <c r="AG30" s="170"/>
      <c r="AH30" s="170"/>
    </row>
    <row r="31" spans="1:34" s="125" customFormat="1">
      <c r="A31" s="128">
        <f ca="1">S31</f>
        <v>1568.0811421526403</v>
      </c>
      <c r="B31" s="112"/>
      <c r="C31" s="119" t="s">
        <v>27</v>
      </c>
      <c r="D31" s="105"/>
      <c r="E31" s="104"/>
      <c r="F31" s="104"/>
      <c r="G31" s="93"/>
      <c r="H31" s="93"/>
      <c r="I31" s="93"/>
      <c r="J31" s="93"/>
      <c r="K31" s="93"/>
      <c r="L31" s="93"/>
      <c r="M31" s="93"/>
      <c r="N31" s="93"/>
      <c r="O31" s="160" t="s">
        <v>176</v>
      </c>
      <c r="P31" s="160" t="s">
        <v>181</v>
      </c>
      <c r="Q31" s="159"/>
      <c r="R31" s="159"/>
      <c r="S31" s="159" cm="1">
        <f t="array" aca="1" ref="S31" ca="1">IF($O31="Y",VLOOKUP($P31,INDIRECT($P$3),S$7,0)*INDIRECT($P$2),VLOOKUP($P31,INDIRECT($P$3),S$7,0))</f>
        <v>1568.0811421526403</v>
      </c>
      <c r="T31" s="152"/>
      <c r="U31" s="154"/>
      <c r="V31" s="154"/>
      <c r="W31" s="152"/>
      <c r="X31" s="152"/>
      <c r="Y31" s="167" t="str">
        <f t="shared" si="22"/>
        <v>Y</v>
      </c>
      <c r="Z31" s="167" t="str">
        <f t="shared" si="23"/>
        <v>Long25</v>
      </c>
      <c r="AA31" s="168"/>
      <c r="AB31" s="167"/>
      <c r="AC31" s="169">
        <f t="shared" ca="1" si="24"/>
        <v>0.754</v>
      </c>
      <c r="AD31" s="170"/>
      <c r="AE31" s="170"/>
      <c r="AF31" s="170"/>
      <c r="AG31" s="170"/>
      <c r="AH31" s="170"/>
    </row>
    <row r="32" spans="1:34" s="125" customFormat="1">
      <c r="A32" s="104"/>
      <c r="B32" s="104"/>
      <c r="C32" s="104"/>
      <c r="D32" s="105"/>
      <c r="E32" s="104"/>
      <c r="F32" s="104"/>
      <c r="G32" s="93"/>
      <c r="H32" s="93"/>
      <c r="I32" s="93"/>
      <c r="J32" s="93"/>
      <c r="K32" s="93"/>
      <c r="L32" s="93"/>
      <c r="M32" s="93"/>
      <c r="N32" s="93"/>
      <c r="O32" s="152"/>
      <c r="P32" s="160"/>
      <c r="Q32" s="152"/>
      <c r="R32" s="152"/>
      <c r="S32" s="152"/>
      <c r="T32" s="152"/>
      <c r="U32" s="154"/>
      <c r="V32" s="154"/>
      <c r="W32" s="152"/>
      <c r="X32" s="152"/>
      <c r="Y32" s="170"/>
      <c r="Z32" s="170"/>
      <c r="AA32" s="171"/>
      <c r="AB32" s="170"/>
      <c r="AC32" s="170"/>
      <c r="AD32" s="170"/>
      <c r="AE32" s="170"/>
      <c r="AF32" s="170"/>
      <c r="AG32" s="170"/>
      <c r="AH32" s="170"/>
    </row>
    <row r="33" spans="1:34" s="125" customFormat="1">
      <c r="A33" s="93" t="s">
        <v>185</v>
      </c>
      <c r="B33" s="112"/>
      <c r="C33" s="93"/>
      <c r="D33" s="93"/>
      <c r="E33" s="93"/>
      <c r="F33" s="93"/>
      <c r="G33" s="93"/>
      <c r="H33" s="93"/>
      <c r="I33" s="93"/>
      <c r="J33" s="93"/>
      <c r="K33" s="93"/>
      <c r="L33" s="93"/>
      <c r="M33" s="93"/>
      <c r="N33" s="93"/>
      <c r="O33" s="152"/>
      <c r="P33" s="160"/>
      <c r="Q33" s="152"/>
      <c r="R33" s="152"/>
      <c r="S33" s="152"/>
      <c r="T33" s="152"/>
      <c r="U33" s="154"/>
      <c r="V33" s="154"/>
      <c r="W33" s="152"/>
      <c r="X33" s="152"/>
      <c r="Y33" s="170"/>
      <c r="Z33" s="170"/>
      <c r="AA33" s="171"/>
      <c r="AB33" s="170"/>
      <c r="AC33" s="170"/>
      <c r="AD33" s="170"/>
      <c r="AE33" s="170"/>
      <c r="AF33" s="170"/>
      <c r="AG33" s="170"/>
      <c r="AH33" s="170"/>
    </row>
    <row r="40" spans="1:34">
      <c r="A40" s="93" t="s">
        <v>200</v>
      </c>
      <c r="M40" s="93" t="s">
        <v>201</v>
      </c>
    </row>
  </sheetData>
  <sheetProtection sheet="1" objects="1" scenarios="1"/>
  <sortState xmlns:xlrd2="http://schemas.microsoft.com/office/spreadsheetml/2017/richdata2" ref="A10:AH20">
    <sortCondition ref="D10:D20"/>
  </sortState>
  <mergeCells count="3">
    <mergeCell ref="A2:L2"/>
    <mergeCell ref="H3:I3"/>
    <mergeCell ref="A5:C5"/>
  </mergeCells>
  <pageMargins left="0.25" right="0.25" top="1" bottom="0.5" header="0.5" footer="0.5"/>
  <pageSetup scale="96" orientation="landscape"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AH40"/>
  <sheetViews>
    <sheetView showGridLines="0" zoomScaleNormal="100" workbookViewId="0">
      <selection activeCell="P9" sqref="P9:X32"/>
    </sheetView>
  </sheetViews>
  <sheetFormatPr defaultColWidth="9.265625" defaultRowHeight="13.15"/>
  <cols>
    <col min="1" max="1" width="10" style="93" customWidth="1"/>
    <col min="2" max="2" width="8.265625" style="112" bestFit="1" customWidth="1"/>
    <col min="3" max="3" width="9" style="93" customWidth="1"/>
    <col min="4" max="4" width="24.3984375" style="93" bestFit="1" customWidth="1"/>
    <col min="5" max="5" width="5.73046875" style="93" hidden="1" customWidth="1"/>
    <col min="6" max="6" width="5.73046875" style="93" bestFit="1" customWidth="1"/>
    <col min="7" max="7" width="4.73046875" style="93" bestFit="1" customWidth="1"/>
    <col min="8" max="8" width="11.73046875" style="93" customWidth="1"/>
    <col min="9" max="9" width="10.265625" style="93" customWidth="1"/>
    <col min="10" max="10" width="9.73046875" style="93" customWidth="1"/>
    <col min="11" max="12" width="10.59765625" style="93" customWidth="1"/>
    <col min="13" max="13" width="10" style="93" bestFit="1" customWidth="1"/>
    <col min="14" max="14" width="0.265625" style="93" customWidth="1"/>
    <col min="15" max="15" width="10.265625" style="152" hidden="1" customWidth="1"/>
    <col min="16" max="16" width="11.265625" style="160" hidden="1" customWidth="1"/>
    <col min="17" max="17" width="23.73046875" style="152" hidden="1" customWidth="1"/>
    <col min="18" max="18" width="5.3984375" style="152" hidden="1" customWidth="1"/>
    <col min="19" max="20" width="7.59765625" style="152" hidden="1" customWidth="1"/>
    <col min="21" max="22" width="7.59765625" style="154" hidden="1" customWidth="1"/>
    <col min="23" max="24" width="7.59765625" style="152" hidden="1" customWidth="1"/>
    <col min="25" max="25" width="10.3984375" style="162" hidden="1" customWidth="1"/>
    <col min="26" max="26" width="7.3984375" style="162" hidden="1" customWidth="1"/>
    <col min="27" max="27" width="23.73046875" style="163" hidden="1" customWidth="1"/>
    <col min="28" max="28" width="5.3984375" style="162" hidden="1" customWidth="1"/>
    <col min="29" max="34" width="6.73046875" style="162" hidden="1" customWidth="1"/>
    <col min="35" max="35" width="0.265625" style="93" customWidth="1"/>
    <col min="36" max="16384" width="9.265625" style="93"/>
  </cols>
  <sheetData>
    <row r="1" spans="1:34">
      <c r="A1" s="93" t="s">
        <v>199</v>
      </c>
    </row>
    <row r="2" spans="1:34" ht="21">
      <c r="A2" s="187" t="s">
        <v>0</v>
      </c>
      <c r="B2" s="187"/>
      <c r="C2" s="187"/>
      <c r="D2" s="187"/>
      <c r="E2" s="187"/>
      <c r="F2" s="187"/>
      <c r="G2" s="187"/>
      <c r="H2" s="187"/>
      <c r="I2" s="187"/>
      <c r="J2" s="187"/>
      <c r="K2" s="187"/>
      <c r="L2" s="187"/>
      <c r="P2" s="160" t="s">
        <v>186</v>
      </c>
      <c r="Q2" s="153">
        <v>1.0249999999999999</v>
      </c>
    </row>
    <row r="3" spans="1:34">
      <c r="A3" s="94"/>
      <c r="B3" s="95"/>
      <c r="C3" s="96"/>
      <c r="D3" s="95"/>
      <c r="E3" s="95"/>
      <c r="F3" s="150"/>
      <c r="G3" s="150"/>
      <c r="H3" s="188"/>
      <c r="I3" s="188"/>
      <c r="J3" s="150"/>
      <c r="K3" s="150"/>
      <c r="L3" s="150"/>
      <c r="P3" s="160" t="s">
        <v>188</v>
      </c>
    </row>
    <row r="4" spans="1:34">
      <c r="A4" s="94" t="s">
        <v>1</v>
      </c>
      <c r="B4" s="150"/>
      <c r="C4" s="94"/>
      <c r="D4" s="150"/>
      <c r="E4" s="150"/>
      <c r="F4" s="150"/>
      <c r="G4" s="150"/>
      <c r="H4" s="150"/>
      <c r="I4" s="150"/>
      <c r="J4" s="150"/>
      <c r="K4" s="150"/>
      <c r="L4" s="150"/>
    </row>
    <row r="5" spans="1:34">
      <c r="A5" s="189" t="s">
        <v>195</v>
      </c>
      <c r="B5" s="189"/>
      <c r="C5" s="189"/>
      <c r="D5" s="98"/>
      <c r="E5" s="98"/>
      <c r="F5" s="98"/>
      <c r="G5" s="98"/>
      <c r="H5" s="98"/>
      <c r="I5" s="150"/>
      <c r="J5" s="150"/>
      <c r="K5" s="150"/>
      <c r="L5" s="150"/>
    </row>
    <row r="6" spans="1:34">
      <c r="A6" s="151" t="str">
        <f>TEXT(Q2-1,"#.00%")&amp;" Increase"</f>
        <v>2.50% Increase</v>
      </c>
      <c r="C6" s="94"/>
      <c r="D6" s="150"/>
      <c r="E6" s="150"/>
      <c r="F6" s="150"/>
      <c r="G6" s="150"/>
      <c r="H6" s="150"/>
      <c r="I6" s="150"/>
      <c r="J6" s="150"/>
      <c r="K6" s="150"/>
      <c r="L6" s="150"/>
    </row>
    <row r="7" spans="1:34">
      <c r="A7" s="96" t="s">
        <v>198</v>
      </c>
      <c r="B7" s="94"/>
      <c r="C7" s="94"/>
      <c r="D7" s="150"/>
      <c r="E7" s="150"/>
      <c r="F7" s="150"/>
      <c r="G7" s="150"/>
      <c r="H7" s="150"/>
      <c r="I7" s="150"/>
      <c r="J7" s="150"/>
      <c r="K7" s="150"/>
      <c r="L7" s="150"/>
      <c r="S7" s="161">
        <v>4</v>
      </c>
      <c r="T7" s="161">
        <v>5</v>
      </c>
      <c r="U7" s="161">
        <v>6</v>
      </c>
      <c r="V7" s="161">
        <v>7</v>
      </c>
      <c r="W7" s="161">
        <v>8</v>
      </c>
      <c r="X7" s="161">
        <v>9</v>
      </c>
    </row>
    <row r="8" spans="1:34">
      <c r="A8" s="94"/>
      <c r="B8" s="94"/>
      <c r="C8" s="94"/>
      <c r="D8" s="150"/>
      <c r="E8" s="150"/>
      <c r="F8" s="150"/>
      <c r="G8" s="150"/>
      <c r="H8" s="150"/>
      <c r="I8" s="150"/>
      <c r="J8" s="150"/>
      <c r="K8" s="150"/>
      <c r="L8" s="150"/>
      <c r="M8" s="141">
        <v>34.525197001003797</v>
      </c>
      <c r="O8" s="174" t="s">
        <v>197</v>
      </c>
      <c r="Y8" s="175" t="s">
        <v>196</v>
      </c>
    </row>
    <row r="9" spans="1:34" ht="30.75" customHeight="1" thickBot="1">
      <c r="A9" s="126" t="s">
        <v>36</v>
      </c>
      <c r="B9" s="126" t="s">
        <v>37</v>
      </c>
      <c r="C9" s="126" t="s">
        <v>2</v>
      </c>
      <c r="D9" s="126" t="s">
        <v>38</v>
      </c>
      <c r="E9" s="126" t="s">
        <v>39</v>
      </c>
      <c r="F9" s="126" t="s">
        <v>40</v>
      </c>
      <c r="G9" s="127" t="s">
        <v>131</v>
      </c>
      <c r="H9" s="102" t="s">
        <v>41</v>
      </c>
      <c r="I9" s="102" t="s">
        <v>42</v>
      </c>
      <c r="J9" s="102" t="s">
        <v>43</v>
      </c>
      <c r="K9" s="102" t="s">
        <v>44</v>
      </c>
      <c r="L9" s="102" t="s">
        <v>45</v>
      </c>
      <c r="M9" s="102" t="s">
        <v>46</v>
      </c>
      <c r="N9" s="103"/>
      <c r="O9" s="156" t="s">
        <v>175</v>
      </c>
      <c r="P9" s="155" t="s">
        <v>36</v>
      </c>
      <c r="Q9" s="155" t="s">
        <v>38</v>
      </c>
      <c r="R9" s="155" t="s">
        <v>37</v>
      </c>
      <c r="S9" s="156" t="s">
        <v>41</v>
      </c>
      <c r="T9" s="156" t="s">
        <v>42</v>
      </c>
      <c r="U9" s="156" t="s">
        <v>43</v>
      </c>
      <c r="V9" s="156" t="s">
        <v>44</v>
      </c>
      <c r="W9" s="156" t="s">
        <v>45</v>
      </c>
      <c r="X9" s="156" t="s">
        <v>46</v>
      </c>
      <c r="Y9" s="164" t="s">
        <v>175</v>
      </c>
      <c r="Z9" s="165" t="s">
        <v>36</v>
      </c>
      <c r="AA9" s="166" t="s">
        <v>38</v>
      </c>
      <c r="AB9" s="165" t="s">
        <v>37</v>
      </c>
      <c r="AC9" s="164" t="s">
        <v>41</v>
      </c>
      <c r="AD9" s="164" t="s">
        <v>42</v>
      </c>
      <c r="AE9" s="164" t="s">
        <v>43</v>
      </c>
      <c r="AF9" s="164" t="s">
        <v>44</v>
      </c>
      <c r="AG9" s="164" t="s">
        <v>45</v>
      </c>
      <c r="AH9" s="164" t="s">
        <v>46</v>
      </c>
    </row>
    <row r="10" spans="1:34" ht="12.75" customHeight="1" thickTop="1">
      <c r="A10" s="104" t="s">
        <v>8</v>
      </c>
      <c r="B10" s="138" t="s">
        <v>159</v>
      </c>
      <c r="C10" s="104" t="s">
        <v>48</v>
      </c>
      <c r="D10" s="105" t="s">
        <v>99</v>
      </c>
      <c r="E10" s="104">
        <v>395</v>
      </c>
      <c r="F10" s="104">
        <v>8</v>
      </c>
      <c r="G10" s="93" t="s">
        <v>6</v>
      </c>
      <c r="H10" s="106">
        <f t="shared" ref="H10:H20" ca="1" si="0">S10</f>
        <v>72547.39752583114</v>
      </c>
      <c r="I10" s="106">
        <f t="shared" ref="I10:I20" ca="1" si="1">T10</f>
        <v>75445.108347884918</v>
      </c>
      <c r="J10" s="106">
        <f t="shared" ref="J10:J20" ca="1" si="2">U10</f>
        <v>78458.727602820843</v>
      </c>
      <c r="K10" s="106">
        <f t="shared" ref="K10:K20" ca="1" si="3">V10</f>
        <v>81592.891627954174</v>
      </c>
      <c r="L10" s="106">
        <f t="shared" ref="L10:L20" ca="1" si="4">W10</f>
        <v>84852.422214092876</v>
      </c>
      <c r="M10" s="106">
        <f t="shared" ref="M10:M20" ca="1" si="5">X10</f>
        <v>88242.334023677104</v>
      </c>
      <c r="N10" s="106"/>
      <c r="O10" s="157" t="s">
        <v>176</v>
      </c>
      <c r="P10" s="160" t="str">
        <f t="shared" ref="P10:P20" si="6">A10</f>
        <v>03960C</v>
      </c>
      <c r="Q10" s="152" t="str">
        <f t="shared" ref="Q10:Q20" si="7">D10</f>
        <v>Engineer</v>
      </c>
      <c r="R10" s="158" t="str">
        <f t="shared" ref="R10:R20" si="8">B10</f>
        <v>13</v>
      </c>
      <c r="S10" s="159" cm="1">
        <f t="array" aca="1" ref="S10" ca="1">IF($O10="Y",VLOOKUP($P10,INDIRECT($P$3),S$7,0)*INDIRECT($P$2),VLOOKUP($P10,INDIRECT($P$3),S$7,0))</f>
        <v>72547.39752583114</v>
      </c>
      <c r="T10" s="159" cm="1">
        <f t="array" aca="1" ref="T10" ca="1">IF($O10="Y",VLOOKUP($P10,INDIRECT($P$3),T$7,0)*INDIRECT($P$2),VLOOKUP($P10,INDIRECT($P$3),T$7,0))</f>
        <v>75445.108347884918</v>
      </c>
      <c r="U10" s="159" cm="1">
        <f t="array" aca="1" ref="U10" ca="1">IF($O10="Y",VLOOKUP($P10,INDIRECT($P$3),U$7,0)*INDIRECT($P$2),VLOOKUP($P10,INDIRECT($P$3),U$7,0))</f>
        <v>78458.727602820843</v>
      </c>
      <c r="V10" s="159" cm="1">
        <f t="array" aca="1" ref="V10" ca="1">IF($O10="Y",VLOOKUP($P10,INDIRECT($P$3),V$7,0)*INDIRECT($P$2),VLOOKUP($P10,INDIRECT($P$3),V$7,0))</f>
        <v>81592.891627954174</v>
      </c>
      <c r="W10" s="159" cm="1">
        <f t="array" aca="1" ref="W10" ca="1">IF($O10="Y",VLOOKUP($P10,INDIRECT($P$3),W$7,0)*INDIRECT($P$2),VLOOKUP($P10,INDIRECT($P$3),W$7,0))</f>
        <v>84852.422214092876</v>
      </c>
      <c r="X10" s="159" cm="1">
        <f t="array" aca="1" ref="X10" ca="1">IF($O10="Y",VLOOKUP($P10,INDIRECT($P$3),X$7,0)*INDIRECT($P$2),VLOOKUP($P10,INDIRECT($P$3),X$7,0))</f>
        <v>88242.334023677104</v>
      </c>
      <c r="Y10" s="167" t="str">
        <f t="shared" ref="Y10:Y20" si="9">O10</f>
        <v>Y</v>
      </c>
      <c r="Z10" s="167" t="str">
        <f t="shared" ref="Z10:Z20" si="10">P10</f>
        <v>03960C</v>
      </c>
      <c r="AA10" s="168" t="str">
        <f t="shared" ref="AA10:AA20" si="11">Q10</f>
        <v>Engineer</v>
      </c>
      <c r="AB10" s="167" t="str">
        <f t="shared" ref="AB10:AB20" si="12">R10</f>
        <v>13</v>
      </c>
      <c r="AC10" s="169">
        <f t="shared" ref="AC10:AC20" ca="1" si="13">ROUND(S10/2080,3)</f>
        <v>34.878999999999998</v>
      </c>
      <c r="AD10" s="169">
        <f t="shared" ref="AD10:AD20" ca="1" si="14">ROUND(T10/2080,3)</f>
        <v>36.271999999999998</v>
      </c>
      <c r="AE10" s="169">
        <f t="shared" ref="AE10:AE20" ca="1" si="15">ROUND(U10/2080,3)</f>
        <v>37.720999999999997</v>
      </c>
      <c r="AF10" s="169">
        <f t="shared" ref="AF10:AF20" ca="1" si="16">ROUND(V10/2080,3)</f>
        <v>39.226999999999997</v>
      </c>
      <c r="AG10" s="169">
        <f t="shared" ref="AG10:AG20" ca="1" si="17">ROUND(W10/2080,3)</f>
        <v>40.793999999999997</v>
      </c>
      <c r="AH10" s="169">
        <f t="shared" ref="AH10:AH20" ca="1" si="18">ROUND(X10/2080,3)</f>
        <v>42.423999999999999</v>
      </c>
    </row>
    <row r="11" spans="1:34" ht="12.75" customHeight="1">
      <c r="A11" s="104" t="s">
        <v>78</v>
      </c>
      <c r="B11" s="138" t="s">
        <v>160</v>
      </c>
      <c r="C11" s="104" t="s">
        <v>48</v>
      </c>
      <c r="D11" s="105" t="s">
        <v>92</v>
      </c>
      <c r="E11" s="104">
        <v>470</v>
      </c>
      <c r="F11" s="104">
        <v>10</v>
      </c>
      <c r="G11" s="93" t="s">
        <v>6</v>
      </c>
      <c r="H11" s="106">
        <f t="shared" ca="1" si="0"/>
        <v>88320.082055079198</v>
      </c>
      <c r="I11" s="106">
        <f t="shared" ca="1" si="1"/>
        <v>92735.462946649175</v>
      </c>
      <c r="J11" s="106">
        <f t="shared" ca="1" si="2"/>
        <v>97377.206307618544</v>
      </c>
      <c r="K11" s="106">
        <f t="shared" ca="1" si="3"/>
        <v>102242.51200225715</v>
      </c>
      <c r="L11" s="106">
        <f t="shared" ca="1" si="4"/>
        <v>107332.78009843013</v>
      </c>
      <c r="M11" s="106">
        <f t="shared" ca="1" si="5"/>
        <v>112628.66819929931</v>
      </c>
      <c r="N11" s="106"/>
      <c r="O11" s="157" t="s">
        <v>176</v>
      </c>
      <c r="P11" s="160" t="str">
        <f t="shared" si="6"/>
        <v>04106C</v>
      </c>
      <c r="Q11" s="152" t="str">
        <f t="shared" si="7"/>
        <v xml:space="preserve">Environmental Engineer </v>
      </c>
      <c r="R11" s="158" t="str">
        <f t="shared" si="8"/>
        <v>01</v>
      </c>
      <c r="S11" s="159" cm="1">
        <f t="array" aca="1" ref="S11" ca="1">IF($O11="Y",VLOOKUP($P11,INDIRECT($P$3),S$7,0)*INDIRECT($P$2),VLOOKUP($P11,INDIRECT($P$3),S$7,0))</f>
        <v>88320.082055079198</v>
      </c>
      <c r="T11" s="159" cm="1">
        <f t="array" aca="1" ref="T11" ca="1">IF($O11="Y",VLOOKUP($P11,INDIRECT($P$3),T$7,0)*INDIRECT($P$2),VLOOKUP($P11,INDIRECT($P$3),T$7,0))</f>
        <v>92735.462946649175</v>
      </c>
      <c r="U11" s="159" cm="1">
        <f t="array" aca="1" ref="U11" ca="1">IF($O11="Y",VLOOKUP($P11,INDIRECT($P$3),U$7,0)*INDIRECT($P$2),VLOOKUP($P11,INDIRECT($P$3),U$7,0))</f>
        <v>97377.206307618544</v>
      </c>
      <c r="V11" s="159" cm="1">
        <f t="array" aca="1" ref="V11" ca="1">IF($O11="Y",VLOOKUP($P11,INDIRECT($P$3),V$7,0)*INDIRECT($P$2),VLOOKUP($P11,INDIRECT($P$3),V$7,0))</f>
        <v>102242.51200225715</v>
      </c>
      <c r="W11" s="159" cm="1">
        <f t="array" aca="1" ref="W11" ca="1">IF($O11="Y",VLOOKUP($P11,INDIRECT($P$3),W$7,0)*INDIRECT($P$2),VLOOKUP($P11,INDIRECT($P$3),W$7,0))</f>
        <v>107332.78009843013</v>
      </c>
      <c r="X11" s="159" cm="1">
        <f t="array" aca="1" ref="X11" ca="1">IF($O11="Y",VLOOKUP($P11,INDIRECT($P$3),X$7,0)*INDIRECT($P$2),VLOOKUP($P11,INDIRECT($P$3),X$7,0))</f>
        <v>112628.66819929931</v>
      </c>
      <c r="Y11" s="167" t="str">
        <f t="shared" si="9"/>
        <v>Y</v>
      </c>
      <c r="Z11" s="167" t="str">
        <f t="shared" si="10"/>
        <v>04106C</v>
      </c>
      <c r="AA11" s="168" t="str">
        <f t="shared" si="11"/>
        <v xml:space="preserve">Environmental Engineer </v>
      </c>
      <c r="AB11" s="167" t="str">
        <f t="shared" si="12"/>
        <v>01</v>
      </c>
      <c r="AC11" s="169">
        <f t="shared" ca="1" si="13"/>
        <v>42.462000000000003</v>
      </c>
      <c r="AD11" s="169">
        <f t="shared" ca="1" si="14"/>
        <v>44.584000000000003</v>
      </c>
      <c r="AE11" s="169">
        <f t="shared" ca="1" si="15"/>
        <v>46.816000000000003</v>
      </c>
      <c r="AF11" s="169">
        <f t="shared" ca="1" si="16"/>
        <v>49.155000000000001</v>
      </c>
      <c r="AG11" s="169">
        <f t="shared" ca="1" si="17"/>
        <v>51.601999999999997</v>
      </c>
      <c r="AH11" s="169">
        <f t="shared" ca="1" si="18"/>
        <v>54.148000000000003</v>
      </c>
    </row>
    <row r="12" spans="1:34" ht="12.75" customHeight="1">
      <c r="A12" s="104" t="s">
        <v>13</v>
      </c>
      <c r="B12" s="138" t="s">
        <v>160</v>
      </c>
      <c r="C12" s="104" t="s">
        <v>48</v>
      </c>
      <c r="D12" s="105" t="s">
        <v>100</v>
      </c>
      <c r="E12" s="104">
        <v>470</v>
      </c>
      <c r="F12" s="104">
        <v>10</v>
      </c>
      <c r="G12" s="93" t="s">
        <v>6</v>
      </c>
      <c r="H12" s="106">
        <f t="shared" ca="1" si="0"/>
        <v>88320.082055079198</v>
      </c>
      <c r="I12" s="106">
        <f t="shared" ca="1" si="1"/>
        <v>92735.462946649175</v>
      </c>
      <c r="J12" s="106">
        <f t="shared" ca="1" si="2"/>
        <v>97377.206307618544</v>
      </c>
      <c r="K12" s="106">
        <f t="shared" ca="1" si="3"/>
        <v>102242.51200225715</v>
      </c>
      <c r="L12" s="106">
        <f t="shared" ca="1" si="4"/>
        <v>107332.78009843013</v>
      </c>
      <c r="M12" s="106">
        <f t="shared" ca="1" si="5"/>
        <v>112628.66819929931</v>
      </c>
      <c r="N12" s="106"/>
      <c r="O12" s="157" t="s">
        <v>176</v>
      </c>
      <c r="P12" s="160" t="str">
        <f t="shared" si="6"/>
        <v>07890C</v>
      </c>
      <c r="Q12" s="152" t="str">
        <f t="shared" si="7"/>
        <v>Plan Examiner II Engineer</v>
      </c>
      <c r="R12" s="158" t="str">
        <f t="shared" si="8"/>
        <v>01</v>
      </c>
      <c r="S12" s="159" cm="1">
        <f t="array" aca="1" ref="S12" ca="1">IF($O12="Y",VLOOKUP($P12,INDIRECT($P$3),S$7,0)*INDIRECT($P$2),VLOOKUP($P12,INDIRECT($P$3),S$7,0))</f>
        <v>88320.082055079198</v>
      </c>
      <c r="T12" s="159" cm="1">
        <f t="array" aca="1" ref="T12" ca="1">IF($O12="Y",VLOOKUP($P12,INDIRECT($P$3),T$7,0)*INDIRECT($P$2),VLOOKUP($P12,INDIRECT($P$3),T$7,0))</f>
        <v>92735.462946649175</v>
      </c>
      <c r="U12" s="159" cm="1">
        <f t="array" aca="1" ref="U12" ca="1">IF($O12="Y",VLOOKUP($P12,INDIRECT($P$3),U$7,0)*INDIRECT($P$2),VLOOKUP($P12,INDIRECT($P$3),U$7,0))</f>
        <v>97377.206307618544</v>
      </c>
      <c r="V12" s="159" cm="1">
        <f t="array" aca="1" ref="V12" ca="1">IF($O12="Y",VLOOKUP($P12,INDIRECT($P$3),V$7,0)*INDIRECT($P$2),VLOOKUP($P12,INDIRECT($P$3),V$7,0))</f>
        <v>102242.51200225715</v>
      </c>
      <c r="W12" s="159" cm="1">
        <f t="array" aca="1" ref="W12" ca="1">IF($O12="Y",VLOOKUP($P12,INDIRECT($P$3),W$7,0)*INDIRECT($P$2),VLOOKUP($P12,INDIRECT($P$3),W$7,0))</f>
        <v>107332.78009843013</v>
      </c>
      <c r="X12" s="159" cm="1">
        <f t="array" aca="1" ref="X12" ca="1">IF($O12="Y",VLOOKUP($P12,INDIRECT($P$3),X$7,0)*INDIRECT($P$2),VLOOKUP($P12,INDIRECT($P$3),X$7,0))</f>
        <v>112628.66819929931</v>
      </c>
      <c r="Y12" s="167" t="str">
        <f t="shared" si="9"/>
        <v>Y</v>
      </c>
      <c r="Z12" s="167" t="str">
        <f t="shared" si="10"/>
        <v>07890C</v>
      </c>
      <c r="AA12" s="168" t="str">
        <f t="shared" si="11"/>
        <v>Plan Examiner II Engineer</v>
      </c>
      <c r="AB12" s="167" t="str">
        <f t="shared" si="12"/>
        <v>01</v>
      </c>
      <c r="AC12" s="169">
        <f t="shared" ca="1" si="13"/>
        <v>42.462000000000003</v>
      </c>
      <c r="AD12" s="169">
        <f t="shared" ca="1" si="14"/>
        <v>44.584000000000003</v>
      </c>
      <c r="AE12" s="169">
        <f t="shared" ca="1" si="15"/>
        <v>46.816000000000003</v>
      </c>
      <c r="AF12" s="169">
        <f t="shared" ca="1" si="16"/>
        <v>49.155000000000001</v>
      </c>
      <c r="AG12" s="169">
        <f t="shared" ca="1" si="17"/>
        <v>51.601999999999997</v>
      </c>
      <c r="AH12" s="169">
        <f t="shared" ca="1" si="18"/>
        <v>54.148000000000003</v>
      </c>
    </row>
    <row r="13" spans="1:34" ht="12.75" customHeight="1">
      <c r="A13" s="104" t="s">
        <v>9</v>
      </c>
      <c r="B13" s="138" t="s">
        <v>161</v>
      </c>
      <c r="C13" s="104" t="s">
        <v>48</v>
      </c>
      <c r="D13" s="105" t="s">
        <v>101</v>
      </c>
      <c r="E13" s="104">
        <v>578</v>
      </c>
      <c r="F13" s="104">
        <v>12</v>
      </c>
      <c r="G13" s="93" t="s">
        <v>6</v>
      </c>
      <c r="H13" s="106">
        <f t="shared" ca="1" si="0"/>
        <v>106019.32821610861</v>
      </c>
      <c r="I13" s="106">
        <f t="shared" ca="1" si="1"/>
        <v>111305.33527142635</v>
      </c>
      <c r="J13" s="106">
        <f t="shared" ca="1" si="2"/>
        <v>116883.18115950092</v>
      </c>
      <c r="K13" s="106">
        <f t="shared" ca="1" si="3"/>
        <v>122718.61507567469</v>
      </c>
      <c r="L13" s="106">
        <f t="shared" ca="1" si="4"/>
        <v>128845.8891947471</v>
      </c>
      <c r="M13" s="106">
        <f t="shared" ca="1" si="5"/>
        <v>135204.28760803572</v>
      </c>
      <c r="N13" s="106"/>
      <c r="O13" s="157" t="s">
        <v>176</v>
      </c>
      <c r="P13" s="160" t="str">
        <f t="shared" si="6"/>
        <v>04000C</v>
      </c>
      <c r="Q13" s="152" t="str">
        <f t="shared" si="7"/>
        <v>Principal Professional Engr</v>
      </c>
      <c r="R13" s="158" t="str">
        <f t="shared" si="8"/>
        <v>04</v>
      </c>
      <c r="S13" s="159" cm="1">
        <f t="array" aca="1" ref="S13" ca="1">IF($O13="Y",VLOOKUP($P13,INDIRECT($P$3),S$7,0)*INDIRECT($P$2),VLOOKUP($P13,INDIRECT($P$3),S$7,0))</f>
        <v>106019.32821610861</v>
      </c>
      <c r="T13" s="159" cm="1">
        <f t="array" aca="1" ref="T13" ca="1">IF($O13="Y",VLOOKUP($P13,INDIRECT($P$3),T$7,0)*INDIRECT($P$2),VLOOKUP($P13,INDIRECT($P$3),T$7,0))</f>
        <v>111305.33527142635</v>
      </c>
      <c r="U13" s="159" cm="1">
        <f t="array" aca="1" ref="U13" ca="1">IF($O13="Y",VLOOKUP($P13,INDIRECT($P$3),U$7,0)*INDIRECT($P$2),VLOOKUP($P13,INDIRECT($P$3),U$7,0))</f>
        <v>116883.18115950092</v>
      </c>
      <c r="V13" s="159" cm="1">
        <f t="array" aca="1" ref="V13" ca="1">IF($O13="Y",VLOOKUP($P13,INDIRECT($P$3),V$7,0)*INDIRECT($P$2),VLOOKUP($P13,INDIRECT($P$3),V$7,0))</f>
        <v>122718.61507567469</v>
      </c>
      <c r="W13" s="159" cm="1">
        <f t="array" aca="1" ref="W13" ca="1">IF($O13="Y",VLOOKUP($P13,INDIRECT($P$3),W$7,0)*INDIRECT($P$2),VLOOKUP($P13,INDIRECT($P$3),W$7,0))</f>
        <v>128845.8891947471</v>
      </c>
      <c r="X13" s="159" cm="1">
        <f t="array" aca="1" ref="X13" ca="1">IF($O13="Y",VLOOKUP($P13,INDIRECT($P$3),X$7,0)*INDIRECT($P$2),VLOOKUP($P13,INDIRECT($P$3),X$7,0))</f>
        <v>135204.28760803572</v>
      </c>
      <c r="Y13" s="167" t="str">
        <f t="shared" si="9"/>
        <v>Y</v>
      </c>
      <c r="Z13" s="167" t="str">
        <f t="shared" si="10"/>
        <v>04000C</v>
      </c>
      <c r="AA13" s="168" t="str">
        <f t="shared" si="11"/>
        <v>Principal Professional Engr</v>
      </c>
      <c r="AB13" s="167" t="str">
        <f t="shared" si="12"/>
        <v>04</v>
      </c>
      <c r="AC13" s="169">
        <f t="shared" ca="1" si="13"/>
        <v>50.970999999999997</v>
      </c>
      <c r="AD13" s="169">
        <f t="shared" ca="1" si="14"/>
        <v>53.512</v>
      </c>
      <c r="AE13" s="169">
        <f t="shared" ca="1" si="15"/>
        <v>56.194000000000003</v>
      </c>
      <c r="AF13" s="169">
        <f t="shared" ca="1" si="16"/>
        <v>58.999000000000002</v>
      </c>
      <c r="AG13" s="169">
        <f t="shared" ca="1" si="17"/>
        <v>61.945</v>
      </c>
      <c r="AH13" s="169">
        <f t="shared" ca="1" si="18"/>
        <v>65.001999999999995</v>
      </c>
    </row>
    <row r="14" spans="1:34" ht="12.75" customHeight="1">
      <c r="A14" s="104" t="s">
        <v>10</v>
      </c>
      <c r="B14" s="138" t="s">
        <v>160</v>
      </c>
      <c r="C14" s="104" t="s">
        <v>48</v>
      </c>
      <c r="D14" s="105" t="s">
        <v>102</v>
      </c>
      <c r="E14" s="104">
        <v>485</v>
      </c>
      <c r="F14" s="104">
        <v>10</v>
      </c>
      <c r="G14" s="93" t="s">
        <v>6</v>
      </c>
      <c r="H14" s="106">
        <f t="shared" ca="1" si="0"/>
        <v>88320.082055079198</v>
      </c>
      <c r="I14" s="106">
        <f t="shared" ca="1" si="1"/>
        <v>92735.462946649175</v>
      </c>
      <c r="J14" s="106">
        <f t="shared" ca="1" si="2"/>
        <v>97377.206307618544</v>
      </c>
      <c r="K14" s="106">
        <f t="shared" ca="1" si="3"/>
        <v>102242.51200225715</v>
      </c>
      <c r="L14" s="106">
        <f t="shared" ca="1" si="4"/>
        <v>107332.78009843013</v>
      </c>
      <c r="M14" s="106">
        <f t="shared" ca="1" si="5"/>
        <v>112628.66819929931</v>
      </c>
      <c r="N14" s="106"/>
      <c r="O14" s="157" t="s">
        <v>176</v>
      </c>
      <c r="P14" s="160" t="str">
        <f t="shared" si="6"/>
        <v>03980C</v>
      </c>
      <c r="Q14" s="152" t="str">
        <f t="shared" si="7"/>
        <v>Professional Engineer</v>
      </c>
      <c r="R14" s="158" t="str">
        <f t="shared" si="8"/>
        <v>01</v>
      </c>
      <c r="S14" s="159" cm="1">
        <f t="array" aca="1" ref="S14" ca="1">IF($O14="Y",VLOOKUP($P14,INDIRECT($P$3),S$7,0)*INDIRECT($P$2),VLOOKUP($P14,INDIRECT($P$3),S$7,0))</f>
        <v>88320.082055079198</v>
      </c>
      <c r="T14" s="159" cm="1">
        <f t="array" aca="1" ref="T14" ca="1">IF($O14="Y",VLOOKUP($P14,INDIRECT($P$3),T$7,0)*INDIRECT($P$2),VLOOKUP($P14,INDIRECT($P$3),T$7,0))</f>
        <v>92735.462946649175</v>
      </c>
      <c r="U14" s="159" cm="1">
        <f t="array" aca="1" ref="U14" ca="1">IF($O14="Y",VLOOKUP($P14,INDIRECT($P$3),U$7,0)*INDIRECT($P$2),VLOOKUP($P14,INDIRECT($P$3),U$7,0))</f>
        <v>97377.206307618544</v>
      </c>
      <c r="V14" s="159" cm="1">
        <f t="array" aca="1" ref="V14" ca="1">IF($O14="Y",VLOOKUP($P14,INDIRECT($P$3),V$7,0)*INDIRECT($P$2),VLOOKUP($P14,INDIRECT($P$3),V$7,0))</f>
        <v>102242.51200225715</v>
      </c>
      <c r="W14" s="159" cm="1">
        <f t="array" aca="1" ref="W14" ca="1">IF($O14="Y",VLOOKUP($P14,INDIRECT($P$3),W$7,0)*INDIRECT($P$2),VLOOKUP($P14,INDIRECT($P$3),W$7,0))</f>
        <v>107332.78009843013</v>
      </c>
      <c r="X14" s="159" cm="1">
        <f t="array" aca="1" ref="X14" ca="1">IF($O14="Y",VLOOKUP($P14,INDIRECT($P$3),X$7,0)*INDIRECT($P$2),VLOOKUP($P14,INDIRECT($P$3),X$7,0))</f>
        <v>112628.66819929931</v>
      </c>
      <c r="Y14" s="167" t="str">
        <f t="shared" si="9"/>
        <v>Y</v>
      </c>
      <c r="Z14" s="167" t="str">
        <f t="shared" si="10"/>
        <v>03980C</v>
      </c>
      <c r="AA14" s="168" t="str">
        <f t="shared" si="11"/>
        <v>Professional Engineer</v>
      </c>
      <c r="AB14" s="167" t="str">
        <f t="shared" si="12"/>
        <v>01</v>
      </c>
      <c r="AC14" s="169">
        <f t="shared" ca="1" si="13"/>
        <v>42.462000000000003</v>
      </c>
      <c r="AD14" s="169">
        <f t="shared" ca="1" si="14"/>
        <v>44.584000000000003</v>
      </c>
      <c r="AE14" s="169">
        <f t="shared" ca="1" si="15"/>
        <v>46.816000000000003</v>
      </c>
      <c r="AF14" s="169">
        <f t="shared" ca="1" si="16"/>
        <v>49.155000000000001</v>
      </c>
      <c r="AG14" s="169">
        <f t="shared" ca="1" si="17"/>
        <v>51.601999999999997</v>
      </c>
      <c r="AH14" s="169">
        <f t="shared" ca="1" si="18"/>
        <v>54.148000000000003</v>
      </c>
    </row>
    <row r="15" spans="1:34" ht="12.75" customHeight="1">
      <c r="A15" s="104" t="s">
        <v>11</v>
      </c>
      <c r="B15" s="138" t="s">
        <v>162</v>
      </c>
      <c r="C15" s="104" t="s">
        <v>48</v>
      </c>
      <c r="D15" s="105" t="s">
        <v>103</v>
      </c>
      <c r="E15" s="104">
        <v>523</v>
      </c>
      <c r="F15" s="104">
        <v>11</v>
      </c>
      <c r="G15" s="93" t="s">
        <v>6</v>
      </c>
      <c r="H15" s="106">
        <f t="shared" ca="1" si="0"/>
        <v>96403.671710088034</v>
      </c>
      <c r="I15" s="106">
        <f t="shared" ca="1" si="1"/>
        <v>101214.23956162267</v>
      </c>
      <c r="J15" s="106">
        <f t="shared" ca="1" si="2"/>
        <v>106276.9135039242</v>
      </c>
      <c r="K15" s="106">
        <f t="shared" ca="1" si="3"/>
        <v>111561.55041744436</v>
      </c>
      <c r="L15" s="106">
        <f t="shared" ca="1" si="4"/>
        <v>117140.76918760016</v>
      </c>
      <c r="M15" s="106">
        <f t="shared" ca="1" si="5"/>
        <v>122921.06377312407</v>
      </c>
      <c r="N15" s="106"/>
      <c r="O15" s="157" t="s">
        <v>176</v>
      </c>
      <c r="P15" s="160" t="str">
        <f t="shared" si="6"/>
        <v>03990C</v>
      </c>
      <c r="Q15" s="152" t="str">
        <f t="shared" si="7"/>
        <v>Senior Professional Engineer</v>
      </c>
      <c r="R15" s="158" t="str">
        <f t="shared" si="8"/>
        <v>02</v>
      </c>
      <c r="S15" s="159" cm="1">
        <f t="array" aca="1" ref="S15" ca="1">IF($O15="Y",VLOOKUP($P15,INDIRECT($P$3),S$7,0)*INDIRECT($P$2),VLOOKUP($P15,INDIRECT($P$3),S$7,0))</f>
        <v>96403.671710088034</v>
      </c>
      <c r="T15" s="159" cm="1">
        <f t="array" aca="1" ref="T15" ca="1">IF($O15="Y",VLOOKUP($P15,INDIRECT($P$3),T$7,0)*INDIRECT($P$2),VLOOKUP($P15,INDIRECT($P$3),T$7,0))</f>
        <v>101214.23956162267</v>
      </c>
      <c r="U15" s="159" cm="1">
        <f t="array" aca="1" ref="U15" ca="1">IF($O15="Y",VLOOKUP($P15,INDIRECT($P$3),U$7,0)*INDIRECT($P$2),VLOOKUP($P15,INDIRECT($P$3),U$7,0))</f>
        <v>106276.9135039242</v>
      </c>
      <c r="V15" s="159" cm="1">
        <f t="array" aca="1" ref="V15" ca="1">IF($O15="Y",VLOOKUP($P15,INDIRECT($P$3),V$7,0)*INDIRECT($P$2),VLOOKUP($P15,INDIRECT($P$3),V$7,0))</f>
        <v>111561.55041744436</v>
      </c>
      <c r="W15" s="159" cm="1">
        <f t="array" aca="1" ref="W15" ca="1">IF($O15="Y",VLOOKUP($P15,INDIRECT($P$3),W$7,0)*INDIRECT($P$2),VLOOKUP($P15,INDIRECT($P$3),W$7,0))</f>
        <v>117140.76918760016</v>
      </c>
      <c r="X15" s="159" cm="1">
        <f t="array" aca="1" ref="X15" ca="1">IF($O15="Y",VLOOKUP($P15,INDIRECT($P$3),X$7,0)*INDIRECT($P$2),VLOOKUP($P15,INDIRECT($P$3),X$7,0))</f>
        <v>122921.06377312407</v>
      </c>
      <c r="Y15" s="167" t="str">
        <f t="shared" si="9"/>
        <v>Y</v>
      </c>
      <c r="Z15" s="167" t="str">
        <f t="shared" si="10"/>
        <v>03990C</v>
      </c>
      <c r="AA15" s="168" t="str">
        <f t="shared" si="11"/>
        <v>Senior Professional Engineer</v>
      </c>
      <c r="AB15" s="167" t="str">
        <f t="shared" si="12"/>
        <v>02</v>
      </c>
      <c r="AC15" s="169">
        <f t="shared" ca="1" si="13"/>
        <v>46.347999999999999</v>
      </c>
      <c r="AD15" s="169">
        <f t="shared" ca="1" si="14"/>
        <v>48.661000000000001</v>
      </c>
      <c r="AE15" s="169">
        <f t="shared" ca="1" si="15"/>
        <v>51.094999999999999</v>
      </c>
      <c r="AF15" s="169">
        <f t="shared" ca="1" si="16"/>
        <v>53.634999999999998</v>
      </c>
      <c r="AG15" s="169">
        <f t="shared" ca="1" si="17"/>
        <v>56.317999999999998</v>
      </c>
      <c r="AH15" s="169">
        <f t="shared" ca="1" si="18"/>
        <v>59.097000000000001</v>
      </c>
    </row>
    <row r="16" spans="1:34" ht="12.75" customHeight="1">
      <c r="A16" s="104" t="s">
        <v>172</v>
      </c>
      <c r="B16" s="138" t="s">
        <v>163</v>
      </c>
      <c r="C16" s="104" t="s">
        <v>48</v>
      </c>
      <c r="D16" s="105" t="s">
        <v>173</v>
      </c>
      <c r="E16" s="104">
        <v>625</v>
      </c>
      <c r="F16" s="104">
        <v>13</v>
      </c>
      <c r="G16" s="93" t="s">
        <v>6</v>
      </c>
      <c r="H16" s="106">
        <f t="shared" ca="1" si="0"/>
        <v>111891.75596081882</v>
      </c>
      <c r="I16" s="106">
        <f t="shared" ca="1" si="1"/>
        <v>117469.60184889336</v>
      </c>
      <c r="J16" s="106">
        <f t="shared" ca="1" si="2"/>
        <v>123342.0295936036</v>
      </c>
      <c r="K16" s="106">
        <f t="shared" ca="1" si="3"/>
        <v>129507.66905315185</v>
      </c>
      <c r="L16" s="106">
        <f t="shared" ca="1" si="4"/>
        <v>135966.51748725449</v>
      </c>
      <c r="M16" s="106">
        <f t="shared" ca="1" si="5"/>
        <v>142676.59640185157</v>
      </c>
      <c r="N16" s="106"/>
      <c r="O16" s="157" t="s">
        <v>176</v>
      </c>
      <c r="P16" s="160" t="str">
        <f t="shared" si="6"/>
        <v>53044C</v>
      </c>
      <c r="Q16" s="152" t="str">
        <f t="shared" si="7"/>
        <v>Sewer Operations Engineer</v>
      </c>
      <c r="R16" s="158" t="str">
        <f t="shared" si="8"/>
        <v>05</v>
      </c>
      <c r="S16" s="159" cm="1">
        <f t="array" aca="1" ref="S16" ca="1">IF($O16="Y",VLOOKUP($P16,INDIRECT($P$3),S$7,0)*INDIRECT($P$2),VLOOKUP($P16,INDIRECT($P$3),S$7,0))</f>
        <v>111891.75596081882</v>
      </c>
      <c r="T16" s="159" cm="1">
        <f t="array" aca="1" ref="T16" ca="1">IF($O16="Y",VLOOKUP($P16,INDIRECT($P$3),T$7,0)*INDIRECT($P$2),VLOOKUP($P16,INDIRECT($P$3),T$7,0))</f>
        <v>117469.60184889336</v>
      </c>
      <c r="U16" s="159" cm="1">
        <f t="array" aca="1" ref="U16" ca="1">IF($O16="Y",VLOOKUP($P16,INDIRECT($P$3),U$7,0)*INDIRECT($P$2),VLOOKUP($P16,INDIRECT($P$3),U$7,0))</f>
        <v>123342.0295936036</v>
      </c>
      <c r="V16" s="159" cm="1">
        <f t="array" aca="1" ref="V16" ca="1">IF($O16="Y",VLOOKUP($P16,INDIRECT($P$3),V$7,0)*INDIRECT($P$2),VLOOKUP($P16,INDIRECT($P$3),V$7,0))</f>
        <v>129507.66905315185</v>
      </c>
      <c r="W16" s="159" cm="1">
        <f t="array" aca="1" ref="W16" ca="1">IF($O16="Y",VLOOKUP($P16,INDIRECT($P$3),W$7,0)*INDIRECT($P$2),VLOOKUP($P16,INDIRECT($P$3),W$7,0))</f>
        <v>135966.51748725449</v>
      </c>
      <c r="X16" s="159" cm="1">
        <f t="array" aca="1" ref="X16" ca="1">IF($O16="Y",VLOOKUP($P16,INDIRECT($P$3),X$7,0)*INDIRECT($P$2),VLOOKUP($P16,INDIRECT($P$3),X$7,0))</f>
        <v>142676.59640185157</v>
      </c>
      <c r="Y16" s="167" t="str">
        <f t="shared" si="9"/>
        <v>Y</v>
      </c>
      <c r="Z16" s="167" t="str">
        <f t="shared" si="10"/>
        <v>53044C</v>
      </c>
      <c r="AA16" s="168" t="str">
        <f t="shared" si="11"/>
        <v>Sewer Operations Engineer</v>
      </c>
      <c r="AB16" s="167" t="str">
        <f t="shared" si="12"/>
        <v>05</v>
      </c>
      <c r="AC16" s="169">
        <f t="shared" ca="1" si="13"/>
        <v>53.793999999999997</v>
      </c>
      <c r="AD16" s="169">
        <f t="shared" ca="1" si="14"/>
        <v>56.475999999999999</v>
      </c>
      <c r="AE16" s="169">
        <f t="shared" ca="1" si="15"/>
        <v>59.298999999999999</v>
      </c>
      <c r="AF16" s="169">
        <f t="shared" ca="1" si="16"/>
        <v>62.262999999999998</v>
      </c>
      <c r="AG16" s="169">
        <f t="shared" ca="1" si="17"/>
        <v>65.369</v>
      </c>
      <c r="AH16" s="169">
        <f t="shared" ca="1" si="18"/>
        <v>68.594999999999999</v>
      </c>
    </row>
    <row r="17" spans="1:34" ht="12.75" customHeight="1">
      <c r="A17" s="104" t="s">
        <v>16</v>
      </c>
      <c r="B17" s="138" t="s">
        <v>163</v>
      </c>
      <c r="C17" s="104" t="s">
        <v>48</v>
      </c>
      <c r="D17" s="105" t="s">
        <v>104</v>
      </c>
      <c r="E17" s="104">
        <v>625</v>
      </c>
      <c r="F17" s="104">
        <v>13</v>
      </c>
      <c r="G17" s="93" t="s">
        <v>6</v>
      </c>
      <c r="H17" s="106">
        <f t="shared" ca="1" si="0"/>
        <v>111891.75596081882</v>
      </c>
      <c r="I17" s="106">
        <f t="shared" ca="1" si="1"/>
        <v>117469.60184889336</v>
      </c>
      <c r="J17" s="106">
        <f t="shared" ca="1" si="2"/>
        <v>123342.0295936036</v>
      </c>
      <c r="K17" s="106">
        <f t="shared" ca="1" si="3"/>
        <v>129507.66905315185</v>
      </c>
      <c r="L17" s="106">
        <f t="shared" ca="1" si="4"/>
        <v>135966.51748725449</v>
      </c>
      <c r="M17" s="106">
        <f t="shared" ca="1" si="5"/>
        <v>142676.59640185157</v>
      </c>
      <c r="N17" s="106"/>
      <c r="O17" s="157" t="s">
        <v>176</v>
      </c>
      <c r="P17" s="160" t="str">
        <f t="shared" si="6"/>
        <v>09440C</v>
      </c>
      <c r="Q17" s="152" t="str">
        <f t="shared" si="7"/>
        <v>Street Maintenance Engineer</v>
      </c>
      <c r="R17" s="158" t="str">
        <f t="shared" si="8"/>
        <v>05</v>
      </c>
      <c r="S17" s="159" cm="1">
        <f t="array" aca="1" ref="S17" ca="1">IF($O17="Y",VLOOKUP($P17,INDIRECT($P$3),S$7,0)*INDIRECT($P$2),VLOOKUP($P17,INDIRECT($P$3),S$7,0))</f>
        <v>111891.75596081882</v>
      </c>
      <c r="T17" s="159" cm="1">
        <f t="array" aca="1" ref="T17" ca="1">IF($O17="Y",VLOOKUP($P17,INDIRECT($P$3),T$7,0)*INDIRECT($P$2),VLOOKUP($P17,INDIRECT($P$3),T$7,0))</f>
        <v>117469.60184889336</v>
      </c>
      <c r="U17" s="159" cm="1">
        <f t="array" aca="1" ref="U17" ca="1">IF($O17="Y",VLOOKUP($P17,INDIRECT($P$3),U$7,0)*INDIRECT($P$2),VLOOKUP($P17,INDIRECT($P$3),U$7,0))</f>
        <v>123342.0295936036</v>
      </c>
      <c r="V17" s="159" cm="1">
        <f t="array" aca="1" ref="V17" ca="1">IF($O17="Y",VLOOKUP($P17,INDIRECT($P$3),V$7,0)*INDIRECT($P$2),VLOOKUP($P17,INDIRECT($P$3),V$7,0))</f>
        <v>129507.66905315185</v>
      </c>
      <c r="W17" s="159" cm="1">
        <f t="array" aca="1" ref="W17" ca="1">IF($O17="Y",VLOOKUP($P17,INDIRECT($P$3),W$7,0)*INDIRECT($P$2),VLOOKUP($P17,INDIRECT($P$3),W$7,0))</f>
        <v>135966.51748725449</v>
      </c>
      <c r="X17" s="159" cm="1">
        <f t="array" aca="1" ref="X17" ca="1">IF($O17="Y",VLOOKUP($P17,INDIRECT($P$3),X$7,0)*INDIRECT($P$2),VLOOKUP($P17,INDIRECT($P$3),X$7,0))</f>
        <v>142676.59640185157</v>
      </c>
      <c r="Y17" s="167" t="str">
        <f t="shared" si="9"/>
        <v>Y</v>
      </c>
      <c r="Z17" s="167" t="str">
        <f t="shared" si="10"/>
        <v>09440C</v>
      </c>
      <c r="AA17" s="168" t="str">
        <f t="shared" si="11"/>
        <v>Street Maintenance Engineer</v>
      </c>
      <c r="AB17" s="167" t="str">
        <f t="shared" si="12"/>
        <v>05</v>
      </c>
      <c r="AC17" s="169">
        <f t="shared" ca="1" si="13"/>
        <v>53.793999999999997</v>
      </c>
      <c r="AD17" s="169">
        <f t="shared" ca="1" si="14"/>
        <v>56.475999999999999</v>
      </c>
      <c r="AE17" s="169">
        <f t="shared" ca="1" si="15"/>
        <v>59.298999999999999</v>
      </c>
      <c r="AF17" s="169">
        <f t="shared" ca="1" si="16"/>
        <v>62.262999999999998</v>
      </c>
      <c r="AG17" s="169">
        <f t="shared" ca="1" si="17"/>
        <v>65.369</v>
      </c>
      <c r="AH17" s="169">
        <f t="shared" ca="1" si="18"/>
        <v>68.594999999999999</v>
      </c>
    </row>
    <row r="18" spans="1:34" ht="12.75" customHeight="1">
      <c r="A18" s="104" t="s">
        <v>18</v>
      </c>
      <c r="B18" s="138" t="s">
        <v>163</v>
      </c>
      <c r="C18" s="104" t="s">
        <v>48</v>
      </c>
      <c r="D18" s="105" t="s">
        <v>105</v>
      </c>
      <c r="E18" s="104">
        <v>588</v>
      </c>
      <c r="F18" s="104">
        <v>13</v>
      </c>
      <c r="G18" s="93" t="s">
        <v>6</v>
      </c>
      <c r="H18" s="106">
        <f t="shared" ca="1" si="0"/>
        <v>111891.75596081882</v>
      </c>
      <c r="I18" s="106">
        <f t="shared" ca="1" si="1"/>
        <v>117469.60184889336</v>
      </c>
      <c r="J18" s="106">
        <f t="shared" ca="1" si="2"/>
        <v>123342.0295936036</v>
      </c>
      <c r="K18" s="106">
        <f t="shared" ca="1" si="3"/>
        <v>129507.66905315185</v>
      </c>
      <c r="L18" s="106">
        <f t="shared" ca="1" si="4"/>
        <v>135966.51748725449</v>
      </c>
      <c r="M18" s="106">
        <f t="shared" ca="1" si="5"/>
        <v>142676.59640185157</v>
      </c>
      <c r="N18" s="106"/>
      <c r="O18" s="157" t="s">
        <v>176</v>
      </c>
      <c r="P18" s="160" t="str">
        <f t="shared" si="6"/>
        <v>09750C</v>
      </c>
      <c r="Q18" s="152" t="str">
        <f t="shared" si="7"/>
        <v>Supt, Environmental Engnrg</v>
      </c>
      <c r="R18" s="158" t="str">
        <f t="shared" si="8"/>
        <v>05</v>
      </c>
      <c r="S18" s="159" cm="1">
        <f t="array" aca="1" ref="S18" ca="1">IF($O18="Y",VLOOKUP($P18,INDIRECT($P$3),S$7,0)*INDIRECT($P$2),VLOOKUP($P18,INDIRECT($P$3),S$7,0))</f>
        <v>111891.75596081882</v>
      </c>
      <c r="T18" s="159" cm="1">
        <f t="array" aca="1" ref="T18" ca="1">IF($O18="Y",VLOOKUP($P18,INDIRECT($P$3),T$7,0)*INDIRECT($P$2),VLOOKUP($P18,INDIRECT($P$3),T$7,0))</f>
        <v>117469.60184889336</v>
      </c>
      <c r="U18" s="159" cm="1">
        <f t="array" aca="1" ref="U18" ca="1">IF($O18="Y",VLOOKUP($P18,INDIRECT($P$3),U$7,0)*INDIRECT($P$2),VLOOKUP($P18,INDIRECT($P$3),U$7,0))</f>
        <v>123342.0295936036</v>
      </c>
      <c r="V18" s="159" cm="1">
        <f t="array" aca="1" ref="V18" ca="1">IF($O18="Y",VLOOKUP($P18,INDIRECT($P$3),V$7,0)*INDIRECT($P$2),VLOOKUP($P18,INDIRECT($P$3),V$7,0))</f>
        <v>129507.66905315185</v>
      </c>
      <c r="W18" s="159" cm="1">
        <f t="array" aca="1" ref="W18" ca="1">IF($O18="Y",VLOOKUP($P18,INDIRECT($P$3),W$7,0)*INDIRECT($P$2),VLOOKUP($P18,INDIRECT($P$3),W$7,0))</f>
        <v>135966.51748725449</v>
      </c>
      <c r="X18" s="159" cm="1">
        <f t="array" aca="1" ref="X18" ca="1">IF($O18="Y",VLOOKUP($P18,INDIRECT($P$3),X$7,0)*INDIRECT($P$2),VLOOKUP($P18,INDIRECT($P$3),X$7,0))</f>
        <v>142676.59640185157</v>
      </c>
      <c r="Y18" s="167" t="str">
        <f t="shared" si="9"/>
        <v>Y</v>
      </c>
      <c r="Z18" s="167" t="str">
        <f t="shared" si="10"/>
        <v>09750C</v>
      </c>
      <c r="AA18" s="168" t="str">
        <f t="shared" si="11"/>
        <v>Supt, Environmental Engnrg</v>
      </c>
      <c r="AB18" s="167" t="str">
        <f t="shared" si="12"/>
        <v>05</v>
      </c>
      <c r="AC18" s="169">
        <f t="shared" ca="1" si="13"/>
        <v>53.793999999999997</v>
      </c>
      <c r="AD18" s="169">
        <f t="shared" ca="1" si="14"/>
        <v>56.475999999999999</v>
      </c>
      <c r="AE18" s="169">
        <f t="shared" ca="1" si="15"/>
        <v>59.298999999999999</v>
      </c>
      <c r="AF18" s="169">
        <f t="shared" ca="1" si="16"/>
        <v>62.262999999999998</v>
      </c>
      <c r="AG18" s="169">
        <f t="shared" ca="1" si="17"/>
        <v>65.369</v>
      </c>
      <c r="AH18" s="169">
        <f t="shared" ca="1" si="18"/>
        <v>68.594999999999999</v>
      </c>
    </row>
    <row r="19" spans="1:34" ht="12.75" customHeight="1">
      <c r="A19" s="104" t="s">
        <v>20</v>
      </c>
      <c r="B19" s="138" t="s">
        <v>163</v>
      </c>
      <c r="C19" s="104" t="s">
        <v>48</v>
      </c>
      <c r="D19" s="105" t="s">
        <v>107</v>
      </c>
      <c r="E19" s="104">
        <v>605</v>
      </c>
      <c r="F19" s="104">
        <v>13</v>
      </c>
      <c r="G19" s="93" t="s">
        <v>6</v>
      </c>
      <c r="H19" s="106">
        <f t="shared" ca="1" si="0"/>
        <v>111891.75596081882</v>
      </c>
      <c r="I19" s="106">
        <f t="shared" ca="1" si="1"/>
        <v>117469.60184889336</v>
      </c>
      <c r="J19" s="106">
        <f t="shared" ca="1" si="2"/>
        <v>123342.0295936036</v>
      </c>
      <c r="K19" s="106">
        <f t="shared" ca="1" si="3"/>
        <v>129507.66905315185</v>
      </c>
      <c r="L19" s="106">
        <f t="shared" ca="1" si="4"/>
        <v>135966.51748725449</v>
      </c>
      <c r="M19" s="106">
        <f t="shared" ca="1" si="5"/>
        <v>142676.59640185157</v>
      </c>
      <c r="N19" s="106"/>
      <c r="O19" s="157" t="s">
        <v>176</v>
      </c>
      <c r="P19" s="160" t="str">
        <f t="shared" si="6"/>
        <v>09790C</v>
      </c>
      <c r="Q19" s="152" t="str">
        <f t="shared" si="7"/>
        <v xml:space="preserve">Supt, Water Plant Operations </v>
      </c>
      <c r="R19" s="158" t="str">
        <f t="shared" si="8"/>
        <v>05</v>
      </c>
      <c r="S19" s="159" cm="1">
        <f t="array" aca="1" ref="S19" ca="1">IF($O19="Y",VLOOKUP($P19,INDIRECT($P$3),S$7,0)*INDIRECT($P$2),VLOOKUP($P19,INDIRECT($P$3),S$7,0))</f>
        <v>111891.75596081882</v>
      </c>
      <c r="T19" s="159" cm="1">
        <f t="array" aca="1" ref="T19" ca="1">IF($O19="Y",VLOOKUP($P19,INDIRECT($P$3),T$7,0)*INDIRECT($P$2),VLOOKUP($P19,INDIRECT($P$3),T$7,0))</f>
        <v>117469.60184889336</v>
      </c>
      <c r="U19" s="159" cm="1">
        <f t="array" aca="1" ref="U19" ca="1">IF($O19="Y",VLOOKUP($P19,INDIRECT($P$3),U$7,0)*INDIRECT($P$2),VLOOKUP($P19,INDIRECT($P$3),U$7,0))</f>
        <v>123342.0295936036</v>
      </c>
      <c r="V19" s="159" cm="1">
        <f t="array" aca="1" ref="V19" ca="1">IF($O19="Y",VLOOKUP($P19,INDIRECT($P$3),V$7,0)*INDIRECT($P$2),VLOOKUP($P19,INDIRECT($P$3),V$7,0))</f>
        <v>129507.66905315185</v>
      </c>
      <c r="W19" s="159" cm="1">
        <f t="array" aca="1" ref="W19" ca="1">IF($O19="Y",VLOOKUP($P19,INDIRECT($P$3),W$7,0)*INDIRECT($P$2),VLOOKUP($P19,INDIRECT($P$3),W$7,0))</f>
        <v>135966.51748725449</v>
      </c>
      <c r="X19" s="159" cm="1">
        <f t="array" aca="1" ref="X19" ca="1">IF($O19="Y",VLOOKUP($P19,INDIRECT($P$3),X$7,0)*INDIRECT($P$2),VLOOKUP($P19,INDIRECT($P$3),X$7,0))</f>
        <v>142676.59640185157</v>
      </c>
      <c r="Y19" s="167" t="str">
        <f t="shared" si="9"/>
        <v>Y</v>
      </c>
      <c r="Z19" s="167" t="str">
        <f t="shared" si="10"/>
        <v>09790C</v>
      </c>
      <c r="AA19" s="168" t="str">
        <f t="shared" si="11"/>
        <v xml:space="preserve">Supt, Water Plant Operations </v>
      </c>
      <c r="AB19" s="167" t="str">
        <f t="shared" si="12"/>
        <v>05</v>
      </c>
      <c r="AC19" s="169">
        <f t="shared" ca="1" si="13"/>
        <v>53.793999999999997</v>
      </c>
      <c r="AD19" s="169">
        <f t="shared" ca="1" si="14"/>
        <v>56.475999999999999</v>
      </c>
      <c r="AE19" s="169">
        <f t="shared" ca="1" si="15"/>
        <v>59.298999999999999</v>
      </c>
      <c r="AF19" s="169">
        <f t="shared" ca="1" si="16"/>
        <v>62.262999999999998</v>
      </c>
      <c r="AG19" s="169">
        <f t="shared" ca="1" si="17"/>
        <v>65.369</v>
      </c>
      <c r="AH19" s="169">
        <f t="shared" ca="1" si="18"/>
        <v>68.594999999999999</v>
      </c>
    </row>
    <row r="20" spans="1:34" ht="12.75" customHeight="1">
      <c r="A20" s="104" t="s">
        <v>127</v>
      </c>
      <c r="B20" s="139" t="s">
        <v>163</v>
      </c>
      <c r="C20" s="104" t="s">
        <v>48</v>
      </c>
      <c r="D20" s="105" t="s">
        <v>125</v>
      </c>
      <c r="E20" s="104">
        <v>600</v>
      </c>
      <c r="F20" s="104">
        <v>13</v>
      </c>
      <c r="G20" s="93" t="s">
        <v>6</v>
      </c>
      <c r="H20" s="106">
        <f t="shared" ca="1" si="0"/>
        <v>111891.75596081882</v>
      </c>
      <c r="I20" s="106">
        <f t="shared" ca="1" si="1"/>
        <v>117469.60184889336</v>
      </c>
      <c r="J20" s="106">
        <f t="shared" ca="1" si="2"/>
        <v>123342.0295936036</v>
      </c>
      <c r="K20" s="106">
        <f t="shared" ca="1" si="3"/>
        <v>129507.66905315185</v>
      </c>
      <c r="L20" s="106">
        <f t="shared" ca="1" si="4"/>
        <v>135966.51748725449</v>
      </c>
      <c r="M20" s="106">
        <f t="shared" ca="1" si="5"/>
        <v>142676.59640185157</v>
      </c>
      <c r="N20" s="106"/>
      <c r="O20" s="157" t="s">
        <v>176</v>
      </c>
      <c r="P20" s="160" t="str">
        <f t="shared" si="6"/>
        <v>10625C</v>
      </c>
      <c r="Q20" s="152" t="str">
        <f t="shared" si="7"/>
        <v>Traffic Operations Engineer</v>
      </c>
      <c r="R20" s="158" t="str">
        <f t="shared" si="8"/>
        <v>05</v>
      </c>
      <c r="S20" s="159" cm="1">
        <f t="array" aca="1" ref="S20" ca="1">IF($O20="Y",VLOOKUP($P20,INDIRECT($P$3),S$7,0)*INDIRECT($P$2),VLOOKUP($P20,INDIRECT($P$3),S$7,0))</f>
        <v>111891.75596081882</v>
      </c>
      <c r="T20" s="159" cm="1">
        <f t="array" aca="1" ref="T20" ca="1">IF($O20="Y",VLOOKUP($P20,INDIRECT($P$3),T$7,0)*INDIRECT($P$2),VLOOKUP($P20,INDIRECT($P$3),T$7,0))</f>
        <v>117469.60184889336</v>
      </c>
      <c r="U20" s="159" cm="1">
        <f t="array" aca="1" ref="U20" ca="1">IF($O20="Y",VLOOKUP($P20,INDIRECT($P$3),U$7,0)*INDIRECT($P$2),VLOOKUP($P20,INDIRECT($P$3),U$7,0))</f>
        <v>123342.0295936036</v>
      </c>
      <c r="V20" s="159" cm="1">
        <f t="array" aca="1" ref="V20" ca="1">IF($O20="Y",VLOOKUP($P20,INDIRECT($P$3),V$7,0)*INDIRECT($P$2),VLOOKUP($P20,INDIRECT($P$3),V$7,0))</f>
        <v>129507.66905315185</v>
      </c>
      <c r="W20" s="159" cm="1">
        <f t="array" aca="1" ref="W20" ca="1">IF($O20="Y",VLOOKUP($P20,INDIRECT($P$3),W$7,0)*INDIRECT($P$2),VLOOKUP($P20,INDIRECT($P$3),W$7,0))</f>
        <v>135966.51748725449</v>
      </c>
      <c r="X20" s="159" cm="1">
        <f t="array" aca="1" ref="X20" ca="1">IF($O20="Y",VLOOKUP($P20,INDIRECT($P$3),X$7,0)*INDIRECT($P$2),VLOOKUP($P20,INDIRECT($P$3),X$7,0))</f>
        <v>142676.59640185157</v>
      </c>
      <c r="Y20" s="167" t="str">
        <f t="shared" si="9"/>
        <v>Y</v>
      </c>
      <c r="Z20" s="167" t="str">
        <f t="shared" si="10"/>
        <v>10625C</v>
      </c>
      <c r="AA20" s="168" t="str">
        <f t="shared" si="11"/>
        <v>Traffic Operations Engineer</v>
      </c>
      <c r="AB20" s="167" t="str">
        <f t="shared" si="12"/>
        <v>05</v>
      </c>
      <c r="AC20" s="169">
        <f t="shared" ca="1" si="13"/>
        <v>53.793999999999997</v>
      </c>
      <c r="AD20" s="169">
        <f t="shared" ca="1" si="14"/>
        <v>56.475999999999999</v>
      </c>
      <c r="AE20" s="169">
        <f t="shared" ca="1" si="15"/>
        <v>59.298999999999999</v>
      </c>
      <c r="AF20" s="169">
        <f t="shared" ca="1" si="16"/>
        <v>62.262999999999998</v>
      </c>
      <c r="AG20" s="169">
        <f t="shared" ca="1" si="17"/>
        <v>65.369</v>
      </c>
      <c r="AH20" s="169">
        <f t="shared" ca="1" si="18"/>
        <v>68.594999999999999</v>
      </c>
    </row>
    <row r="21" spans="1:34" s="125" customFormat="1">
      <c r="A21" s="93"/>
      <c r="B21" s="93"/>
      <c r="C21" s="93"/>
      <c r="D21" s="93"/>
      <c r="E21" s="93"/>
      <c r="F21" s="93"/>
      <c r="G21" s="93"/>
      <c r="H21" s="93"/>
      <c r="I21" s="93"/>
      <c r="J21" s="93"/>
      <c r="K21" s="93"/>
      <c r="L21" s="93"/>
      <c r="M21" s="93"/>
      <c r="N21" s="93"/>
      <c r="O21" s="152"/>
      <c r="P21" s="160"/>
      <c r="Q21" s="152"/>
      <c r="R21" s="152"/>
      <c r="S21" s="152"/>
      <c r="T21" s="152"/>
      <c r="U21" s="154"/>
      <c r="V21" s="154"/>
      <c r="W21" s="152"/>
      <c r="X21" s="152"/>
      <c r="Y21" s="170"/>
      <c r="Z21" s="170"/>
      <c r="AA21" s="171"/>
      <c r="AB21" s="170"/>
      <c r="AC21" s="170"/>
      <c r="AD21" s="170"/>
      <c r="AE21" s="170"/>
      <c r="AF21" s="170"/>
      <c r="AG21" s="170"/>
      <c r="AH21" s="170"/>
    </row>
    <row r="22" spans="1:34" s="125" customFormat="1">
      <c r="A22" s="115" t="s">
        <v>68</v>
      </c>
      <c r="B22" s="112"/>
      <c r="C22" s="93"/>
      <c r="D22" s="93"/>
      <c r="E22" s="93"/>
      <c r="F22" s="93"/>
      <c r="G22" s="93"/>
      <c r="H22" s="93"/>
      <c r="I22" s="93"/>
      <c r="J22" s="93"/>
      <c r="K22" s="93"/>
      <c r="L22" s="93"/>
      <c r="M22" s="93"/>
      <c r="N22" s="93"/>
      <c r="O22" s="152"/>
      <c r="P22" s="160"/>
      <c r="Q22" s="152"/>
      <c r="R22" s="152"/>
      <c r="S22" s="152"/>
      <c r="T22" s="152"/>
      <c r="U22" s="154"/>
      <c r="V22" s="154"/>
      <c r="W22" s="152"/>
      <c r="X22" s="152"/>
      <c r="Y22" s="170"/>
      <c r="Z22" s="170"/>
      <c r="AA22" s="171"/>
      <c r="AB22" s="170"/>
      <c r="AC22" s="170"/>
      <c r="AD22" s="170"/>
      <c r="AE22" s="170"/>
      <c r="AF22" s="170"/>
      <c r="AG22" s="170"/>
      <c r="AH22" s="170"/>
    </row>
    <row r="23" spans="1:34" s="125" customFormat="1">
      <c r="A23" s="116">
        <f>S23</f>
        <v>40</v>
      </c>
      <c r="B23" s="112"/>
      <c r="C23" s="93" t="s">
        <v>183</v>
      </c>
      <c r="D23" s="93"/>
      <c r="E23" s="93"/>
      <c r="F23" s="93"/>
      <c r="G23" s="93"/>
      <c r="H23" s="93"/>
      <c r="I23" s="93"/>
      <c r="J23" s="93"/>
      <c r="K23" s="93"/>
      <c r="L23" s="93"/>
      <c r="M23" s="93"/>
      <c r="N23" s="93"/>
      <c r="O23" s="160" t="s">
        <v>184</v>
      </c>
      <c r="P23" s="160" t="s">
        <v>167</v>
      </c>
      <c r="Q23" s="154"/>
      <c r="R23" s="154"/>
      <c r="S23" s="159">
        <v>40</v>
      </c>
      <c r="T23" s="152"/>
      <c r="U23" s="154"/>
      <c r="V23" s="154"/>
      <c r="W23" s="152"/>
      <c r="X23" s="152"/>
      <c r="Y23" s="167" t="s">
        <v>176</v>
      </c>
      <c r="Z23" s="167" t="str">
        <f t="shared" ref="Z23:Z24" si="19">P23</f>
        <v>CENCDY</v>
      </c>
      <c r="AA23" s="168"/>
      <c r="AB23" s="167"/>
      <c r="AC23" s="169">
        <f t="shared" ref="AC23:AC24" si="20">ROUND(S23/2080,3)</f>
        <v>1.9E-2</v>
      </c>
      <c r="AD23" s="170"/>
      <c r="AE23" s="170"/>
      <c r="AF23" s="170"/>
      <c r="AG23" s="170"/>
      <c r="AH23" s="170"/>
    </row>
    <row r="24" spans="1:34" s="125" customFormat="1">
      <c r="A24" s="116">
        <f>S24</f>
        <v>50</v>
      </c>
      <c r="B24" s="112"/>
      <c r="C24" s="93" t="s">
        <v>182</v>
      </c>
      <c r="D24" s="93"/>
      <c r="E24" s="93"/>
      <c r="F24" s="93"/>
      <c r="G24" s="93"/>
      <c r="H24" s="93"/>
      <c r="I24" s="93"/>
      <c r="J24" s="93"/>
      <c r="K24" s="93"/>
      <c r="L24" s="93"/>
      <c r="M24" s="93"/>
      <c r="N24" s="93"/>
      <c r="O24" s="160" t="s">
        <v>184</v>
      </c>
      <c r="P24" s="160" t="s">
        <v>168</v>
      </c>
      <c r="Q24" s="154"/>
      <c r="R24" s="154"/>
      <c r="S24" s="159">
        <v>50</v>
      </c>
      <c r="T24" s="152"/>
      <c r="U24" s="154"/>
      <c r="V24" s="154"/>
      <c r="W24" s="152"/>
      <c r="X24" s="152"/>
      <c r="Y24" s="167" t="s">
        <v>176</v>
      </c>
      <c r="Z24" s="167" t="str">
        <f t="shared" si="19"/>
        <v>CENCWE</v>
      </c>
      <c r="AA24" s="168"/>
      <c r="AB24" s="167"/>
      <c r="AC24" s="169">
        <f t="shared" si="20"/>
        <v>2.4E-2</v>
      </c>
      <c r="AD24" s="170"/>
      <c r="AE24" s="170"/>
      <c r="AF24" s="170"/>
      <c r="AG24" s="170"/>
      <c r="AH24" s="170"/>
    </row>
    <row r="25" spans="1:34">
      <c r="O25" s="160"/>
    </row>
    <row r="26" spans="1:34" s="125" customFormat="1">
      <c r="A26" s="94" t="s">
        <v>70</v>
      </c>
      <c r="B26" s="150"/>
      <c r="C26" s="94"/>
      <c r="D26" s="150"/>
      <c r="E26" s="150"/>
      <c r="F26" s="150"/>
      <c r="G26" s="150"/>
      <c r="H26" s="93"/>
      <c r="I26" s="93"/>
      <c r="J26" s="93"/>
      <c r="K26" s="93"/>
      <c r="L26" s="93"/>
      <c r="M26" s="93"/>
      <c r="N26" s="93"/>
      <c r="O26" s="160"/>
      <c r="P26" s="160"/>
      <c r="Q26" s="152"/>
      <c r="R26" s="152"/>
      <c r="S26" s="152"/>
      <c r="T26" s="152"/>
      <c r="U26" s="154"/>
      <c r="V26" s="154"/>
      <c r="W26" s="152"/>
      <c r="X26" s="152"/>
      <c r="Y26" s="170"/>
      <c r="Z26" s="170"/>
      <c r="AA26" s="171"/>
      <c r="AB26" s="170"/>
      <c r="AC26" s="170"/>
      <c r="AD26" s="170"/>
      <c r="AE26" s="170"/>
      <c r="AF26" s="170"/>
      <c r="AG26" s="170"/>
      <c r="AH26" s="170"/>
    </row>
    <row r="27" spans="1:34" s="125" customFormat="1">
      <c r="A27" s="118" t="s">
        <v>133</v>
      </c>
      <c r="B27" s="150"/>
      <c r="C27" s="94"/>
      <c r="D27" s="150"/>
      <c r="E27" s="150"/>
      <c r="F27" s="150"/>
      <c r="G27" s="150"/>
      <c r="H27" s="93"/>
      <c r="I27" s="93"/>
      <c r="J27" s="93"/>
      <c r="K27" s="93"/>
      <c r="L27" s="93"/>
      <c r="M27" s="93"/>
      <c r="N27" s="93"/>
      <c r="O27" s="160"/>
      <c r="P27" s="160"/>
      <c r="Q27" s="152"/>
      <c r="R27" s="152"/>
      <c r="S27" s="152"/>
      <c r="T27" s="152"/>
      <c r="U27" s="154"/>
      <c r="V27" s="154"/>
      <c r="W27" s="152"/>
      <c r="X27" s="152"/>
      <c r="Y27" s="170"/>
      <c r="Z27" s="170"/>
      <c r="AA27" s="171"/>
      <c r="AB27" s="170"/>
      <c r="AC27" s="170"/>
      <c r="AD27" s="170"/>
      <c r="AE27" s="170"/>
      <c r="AF27" s="170"/>
      <c r="AG27" s="170"/>
      <c r="AH27" s="170"/>
    </row>
    <row r="28" spans="1:34" s="125" customFormat="1">
      <c r="A28" s="128">
        <f ca="1">S28</f>
        <v>844.01874152094672</v>
      </c>
      <c r="B28" s="112"/>
      <c r="C28" s="119" t="s">
        <v>24</v>
      </c>
      <c r="D28" s="150"/>
      <c r="E28" s="150"/>
      <c r="F28" s="150"/>
      <c r="G28" s="150"/>
      <c r="H28" s="93"/>
      <c r="I28" s="93"/>
      <c r="J28" s="93"/>
      <c r="K28" s="93"/>
      <c r="L28" s="93"/>
      <c r="M28" s="93"/>
      <c r="N28" s="93"/>
      <c r="O28" s="160" t="s">
        <v>176</v>
      </c>
      <c r="P28" s="160" t="s">
        <v>178</v>
      </c>
      <c r="Q28" s="159"/>
      <c r="R28" s="159"/>
      <c r="S28" s="159" cm="1">
        <f t="array" aca="1" ref="S28" ca="1">IF($O28="Y",VLOOKUP($P28,INDIRECT($P$3),S$7,0)*INDIRECT($P$2),VLOOKUP($P28,INDIRECT($P$3),S$7,0))</f>
        <v>844.01874152094672</v>
      </c>
      <c r="T28" s="152"/>
      <c r="U28" s="154"/>
      <c r="V28" s="154"/>
      <c r="W28" s="152"/>
      <c r="X28" s="152"/>
      <c r="Y28" s="167" t="str">
        <f t="shared" ref="Y28:Z31" si="21">O28</f>
        <v>Y</v>
      </c>
      <c r="Z28" s="167" t="str">
        <f t="shared" si="21"/>
        <v>Long10</v>
      </c>
      <c r="AA28" s="168"/>
      <c r="AB28" s="167"/>
      <c r="AC28" s="169">
        <f t="shared" ref="AC28:AC31" ca="1" si="22">ROUND(S28/2080,3)</f>
        <v>0.40600000000000003</v>
      </c>
      <c r="AD28" s="170"/>
      <c r="AE28" s="170"/>
      <c r="AF28" s="170"/>
      <c r="AG28" s="170"/>
      <c r="AH28" s="170"/>
    </row>
    <row r="29" spans="1:34" s="125" customFormat="1">
      <c r="A29" s="128">
        <f ca="1">S29</f>
        <v>1155.2825698239596</v>
      </c>
      <c r="B29" s="112"/>
      <c r="C29" s="119" t="s">
        <v>25</v>
      </c>
      <c r="D29" s="150"/>
      <c r="E29" s="150"/>
      <c r="F29" s="150"/>
      <c r="G29" s="150"/>
      <c r="H29" s="93"/>
      <c r="I29" s="93"/>
      <c r="J29" s="93"/>
      <c r="K29" s="93"/>
      <c r="L29" s="93"/>
      <c r="M29" s="93"/>
      <c r="N29" s="93"/>
      <c r="O29" s="160" t="s">
        <v>176</v>
      </c>
      <c r="P29" s="160" t="s">
        <v>179</v>
      </c>
      <c r="Q29" s="159"/>
      <c r="R29" s="159"/>
      <c r="S29" s="159" cm="1">
        <f t="array" aca="1" ref="S29" ca="1">IF($O29="Y",VLOOKUP($P29,INDIRECT($P$3),S$7,0)*INDIRECT($P$2),VLOOKUP($P29,INDIRECT($P$3),S$7,0))</f>
        <v>1155.2825698239596</v>
      </c>
      <c r="T29" s="152"/>
      <c r="U29" s="154"/>
      <c r="V29" s="154"/>
      <c r="W29" s="152"/>
      <c r="X29" s="152"/>
      <c r="Y29" s="167" t="str">
        <f t="shared" si="21"/>
        <v>Y</v>
      </c>
      <c r="Z29" s="167" t="str">
        <f t="shared" si="21"/>
        <v>Long15</v>
      </c>
      <c r="AA29" s="168"/>
      <c r="AB29" s="167"/>
      <c r="AC29" s="169">
        <f t="shared" ca="1" si="22"/>
        <v>0.55500000000000005</v>
      </c>
      <c r="AD29" s="170"/>
      <c r="AE29" s="170"/>
      <c r="AF29" s="170"/>
      <c r="AG29" s="170"/>
      <c r="AH29" s="170"/>
    </row>
    <row r="30" spans="1:34" s="125" customFormat="1">
      <c r="A30" s="128">
        <f ca="1">S30</f>
        <v>1364.9516391770671</v>
      </c>
      <c r="B30" s="112"/>
      <c r="C30" s="119" t="s">
        <v>26</v>
      </c>
      <c r="D30" s="150"/>
      <c r="E30" s="150"/>
      <c r="F30" s="150"/>
      <c r="G30" s="150"/>
      <c r="H30" s="93"/>
      <c r="I30" s="93"/>
      <c r="J30" s="93"/>
      <c r="K30" s="93"/>
      <c r="L30" s="93"/>
      <c r="M30" s="93"/>
      <c r="N30" s="93"/>
      <c r="O30" s="160" t="s">
        <v>176</v>
      </c>
      <c r="P30" s="160" t="s">
        <v>180</v>
      </c>
      <c r="Q30" s="159"/>
      <c r="R30" s="159"/>
      <c r="S30" s="159" cm="1">
        <f t="array" aca="1" ref="S30" ca="1">IF($O30="Y",VLOOKUP($P30,INDIRECT($P$3),S$7,0)*INDIRECT($P$2),VLOOKUP($P30,INDIRECT($P$3),S$7,0))</f>
        <v>1364.9516391770671</v>
      </c>
      <c r="T30" s="152"/>
      <c r="U30" s="154"/>
      <c r="V30" s="154"/>
      <c r="W30" s="152"/>
      <c r="X30" s="152"/>
      <c r="Y30" s="167" t="str">
        <f t="shared" si="21"/>
        <v>Y</v>
      </c>
      <c r="Z30" s="167" t="str">
        <f t="shared" si="21"/>
        <v>Long20</v>
      </c>
      <c r="AA30" s="168"/>
      <c r="AB30" s="167"/>
      <c r="AC30" s="169">
        <f t="shared" ca="1" si="22"/>
        <v>0.65600000000000003</v>
      </c>
      <c r="AD30" s="170"/>
      <c r="AE30" s="170"/>
      <c r="AF30" s="170"/>
      <c r="AG30" s="170"/>
      <c r="AH30" s="170"/>
    </row>
    <row r="31" spans="1:34" s="125" customFormat="1">
      <c r="A31" s="128">
        <f ca="1">S31</f>
        <v>1607.2831707064561</v>
      </c>
      <c r="B31" s="112"/>
      <c r="C31" s="119" t="s">
        <v>27</v>
      </c>
      <c r="D31" s="105"/>
      <c r="E31" s="104"/>
      <c r="F31" s="104"/>
      <c r="G31" s="93"/>
      <c r="H31" s="93"/>
      <c r="I31" s="93"/>
      <c r="J31" s="93"/>
      <c r="K31" s="93"/>
      <c r="L31" s="93"/>
      <c r="M31" s="93"/>
      <c r="N31" s="93"/>
      <c r="O31" s="160" t="s">
        <v>176</v>
      </c>
      <c r="P31" s="160" t="s">
        <v>181</v>
      </c>
      <c r="Q31" s="159"/>
      <c r="R31" s="159"/>
      <c r="S31" s="159" cm="1">
        <f t="array" aca="1" ref="S31" ca="1">IF($O31="Y",VLOOKUP($P31,INDIRECT($P$3),S$7,0)*INDIRECT($P$2),VLOOKUP($P31,INDIRECT($P$3),S$7,0))</f>
        <v>1607.2831707064561</v>
      </c>
      <c r="T31" s="152"/>
      <c r="U31" s="154"/>
      <c r="V31" s="154"/>
      <c r="W31" s="152"/>
      <c r="X31" s="152"/>
      <c r="Y31" s="167" t="str">
        <f t="shared" si="21"/>
        <v>Y</v>
      </c>
      <c r="Z31" s="167" t="str">
        <f t="shared" si="21"/>
        <v>Long25</v>
      </c>
      <c r="AA31" s="168"/>
      <c r="AB31" s="167"/>
      <c r="AC31" s="169">
        <f t="shared" ca="1" si="22"/>
        <v>0.77300000000000002</v>
      </c>
      <c r="AD31" s="170"/>
      <c r="AE31" s="170"/>
      <c r="AF31" s="170"/>
      <c r="AG31" s="170"/>
      <c r="AH31" s="170"/>
    </row>
    <row r="32" spans="1:34" s="125" customFormat="1">
      <c r="A32" s="104"/>
      <c r="B32" s="104"/>
      <c r="C32" s="104"/>
      <c r="D32" s="105"/>
      <c r="E32" s="104"/>
      <c r="F32" s="104"/>
      <c r="G32" s="93"/>
      <c r="H32" s="93"/>
      <c r="I32" s="93"/>
      <c r="J32" s="93"/>
      <c r="K32" s="93"/>
      <c r="L32" s="93"/>
      <c r="M32" s="93"/>
      <c r="N32" s="93"/>
      <c r="O32" s="152"/>
      <c r="P32" s="160"/>
      <c r="Q32" s="152"/>
      <c r="R32" s="152"/>
      <c r="S32" s="152"/>
      <c r="T32" s="152"/>
      <c r="U32" s="154"/>
      <c r="V32" s="154"/>
      <c r="W32" s="152"/>
      <c r="X32" s="152"/>
      <c r="Y32" s="170"/>
      <c r="Z32" s="170"/>
      <c r="AA32" s="171"/>
      <c r="AB32" s="170"/>
      <c r="AC32" s="170"/>
      <c r="AD32" s="170"/>
      <c r="AE32" s="170"/>
      <c r="AF32" s="170"/>
      <c r="AG32" s="170"/>
      <c r="AH32" s="170"/>
    </row>
    <row r="33" spans="1:34" s="125" customFormat="1">
      <c r="A33" s="93" t="s">
        <v>185</v>
      </c>
      <c r="B33" s="112"/>
      <c r="C33" s="93"/>
      <c r="D33" s="93"/>
      <c r="E33" s="93"/>
      <c r="F33" s="93"/>
      <c r="G33" s="93"/>
      <c r="H33" s="93"/>
      <c r="I33" s="93"/>
      <c r="J33" s="93"/>
      <c r="K33" s="93"/>
      <c r="L33" s="93"/>
      <c r="M33" s="93"/>
      <c r="N33" s="93"/>
      <c r="O33" s="152"/>
      <c r="P33" s="160"/>
      <c r="Q33" s="152"/>
      <c r="R33" s="152"/>
      <c r="S33" s="152"/>
      <c r="T33" s="152"/>
      <c r="U33" s="154"/>
      <c r="V33" s="154"/>
      <c r="W33" s="152"/>
      <c r="X33" s="152"/>
      <c r="Y33" s="170"/>
      <c r="Z33" s="170"/>
      <c r="AA33" s="171"/>
      <c r="AB33" s="170"/>
      <c r="AC33" s="170"/>
      <c r="AD33" s="170"/>
      <c r="AE33" s="170"/>
      <c r="AF33" s="170"/>
      <c r="AG33" s="170"/>
      <c r="AH33" s="170"/>
    </row>
    <row r="40" spans="1:34">
      <c r="A40" s="93" t="s">
        <v>200</v>
      </c>
      <c r="M40" s="93" t="s">
        <v>201</v>
      </c>
    </row>
  </sheetData>
  <sheetProtection sheet="1" objects="1" scenarios="1"/>
  <sortState xmlns:xlrd2="http://schemas.microsoft.com/office/spreadsheetml/2017/richdata2" ref="A10:AH20">
    <sortCondition ref="D10:D20"/>
  </sortState>
  <mergeCells count="3">
    <mergeCell ref="A2:L2"/>
    <mergeCell ref="H3:I3"/>
    <mergeCell ref="A5:C5"/>
  </mergeCells>
  <pageMargins left="0.25" right="0.25" top="1" bottom="0.5" header="0.5" footer="0.5"/>
  <pageSetup scale="96" orientation="landscape"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AH40"/>
  <sheetViews>
    <sheetView showGridLines="0" topLeftCell="C1" zoomScaleNormal="100" workbookViewId="0">
      <selection activeCell="P9" sqref="P9:X32"/>
    </sheetView>
  </sheetViews>
  <sheetFormatPr defaultColWidth="9.265625" defaultRowHeight="13.15"/>
  <cols>
    <col min="1" max="1" width="10" style="93" customWidth="1"/>
    <col min="2" max="2" width="8.265625" style="112" bestFit="1" customWidth="1"/>
    <col min="3" max="3" width="9" style="93" customWidth="1"/>
    <col min="4" max="4" width="24.3984375" style="93" bestFit="1" customWidth="1"/>
    <col min="5" max="5" width="5.73046875" style="93" hidden="1" customWidth="1"/>
    <col min="6" max="6" width="5.73046875" style="93" bestFit="1" customWidth="1"/>
    <col min="7" max="7" width="4.73046875" style="93" bestFit="1" customWidth="1"/>
    <col min="8" max="8" width="11.73046875" style="93" customWidth="1"/>
    <col min="9" max="9" width="10.265625" style="93" customWidth="1"/>
    <col min="10" max="10" width="9.73046875" style="93" customWidth="1"/>
    <col min="11" max="12" width="10.59765625" style="93" customWidth="1"/>
    <col min="13" max="13" width="10" style="93" bestFit="1" customWidth="1"/>
    <col min="14" max="14" width="9.265625" style="93" customWidth="1"/>
    <col min="15" max="15" width="10.265625" style="152" customWidth="1"/>
    <col min="16" max="16" width="11.265625" style="160" customWidth="1"/>
    <col min="17" max="17" width="23.73046875" style="152" customWidth="1"/>
    <col min="18" max="18" width="5.3984375" style="152" customWidth="1"/>
    <col min="19" max="20" width="8.3984375" style="152" bestFit="1" customWidth="1"/>
    <col min="21" max="22" width="8.3984375" style="154" bestFit="1" customWidth="1"/>
    <col min="23" max="24" width="8.3984375" style="152" bestFit="1" customWidth="1"/>
    <col min="25" max="25" width="10.3984375" style="162" customWidth="1"/>
    <col min="26" max="26" width="7.73046875" style="162" customWidth="1"/>
    <col min="27" max="27" width="23.73046875" style="163" customWidth="1"/>
    <col min="28" max="28" width="8.265625" style="162" customWidth="1"/>
    <col min="29" max="34" width="7.3984375" style="162" bestFit="1" customWidth="1"/>
    <col min="35" max="16384" width="9.265625" style="93"/>
  </cols>
  <sheetData>
    <row r="1" spans="1:34">
      <c r="A1" s="93" t="s">
        <v>199</v>
      </c>
    </row>
    <row r="2" spans="1:34" ht="21">
      <c r="A2" s="187" t="s">
        <v>0</v>
      </c>
      <c r="B2" s="187"/>
      <c r="C2" s="187"/>
      <c r="D2" s="187"/>
      <c r="E2" s="187"/>
      <c r="F2" s="187"/>
      <c r="G2" s="187"/>
      <c r="H2" s="187"/>
      <c r="I2" s="187"/>
      <c r="J2" s="187"/>
      <c r="K2" s="187"/>
      <c r="L2" s="187"/>
      <c r="P2" s="160" t="s">
        <v>190</v>
      </c>
      <c r="Q2" s="153">
        <v>1.0449999999999999</v>
      </c>
    </row>
    <row r="3" spans="1:34">
      <c r="A3" s="94"/>
      <c r="B3" s="95"/>
      <c r="C3" s="96"/>
      <c r="D3" s="95"/>
      <c r="E3" s="95"/>
      <c r="F3" s="150"/>
      <c r="G3" s="150"/>
      <c r="H3" s="188"/>
      <c r="I3" s="188"/>
      <c r="J3" s="150"/>
      <c r="K3" s="150"/>
      <c r="L3" s="150"/>
      <c r="P3" s="160" t="s">
        <v>189</v>
      </c>
    </row>
    <row r="4" spans="1:34">
      <c r="A4" s="94" t="s">
        <v>1</v>
      </c>
      <c r="B4" s="150"/>
      <c r="C4" s="94"/>
      <c r="D4" s="150"/>
      <c r="E4" s="150"/>
      <c r="F4" s="150"/>
      <c r="G4" s="150"/>
      <c r="H4" s="150"/>
      <c r="I4" s="150"/>
      <c r="J4" s="150"/>
      <c r="K4" s="150"/>
      <c r="L4" s="150"/>
    </row>
    <row r="5" spans="1:34">
      <c r="A5" s="189" t="s">
        <v>194</v>
      </c>
      <c r="B5" s="189"/>
      <c r="C5" s="189"/>
      <c r="D5" s="98"/>
      <c r="E5" s="98"/>
      <c r="F5" s="98"/>
      <c r="G5" s="98"/>
      <c r="H5" s="98"/>
      <c r="I5" s="150"/>
      <c r="J5" s="150"/>
      <c r="K5" s="150"/>
      <c r="L5" s="150"/>
    </row>
    <row r="6" spans="1:34">
      <c r="A6" s="151" t="str">
        <f>TEXT(Q2-1,"#.00%")&amp;" Increase"</f>
        <v>4.50% Increase</v>
      </c>
      <c r="C6" s="94"/>
      <c r="D6" s="150"/>
      <c r="E6" s="150"/>
      <c r="F6" s="150"/>
      <c r="G6" s="150"/>
      <c r="H6" s="150"/>
      <c r="I6" s="150"/>
      <c r="J6" s="150"/>
      <c r="K6" s="150"/>
      <c r="L6" s="150"/>
    </row>
    <row r="7" spans="1:34">
      <c r="A7" s="96" t="s">
        <v>198</v>
      </c>
      <c r="B7" s="94"/>
      <c r="C7" s="94"/>
      <c r="D7" s="150"/>
      <c r="E7" s="150"/>
      <c r="F7" s="150"/>
      <c r="G7" s="150"/>
      <c r="H7" s="150"/>
      <c r="I7" s="150"/>
      <c r="J7" s="150"/>
      <c r="K7" s="150"/>
      <c r="L7" s="150"/>
      <c r="S7" s="161">
        <v>4</v>
      </c>
      <c r="T7" s="161">
        <v>5</v>
      </c>
      <c r="U7" s="161">
        <v>6</v>
      </c>
      <c r="V7" s="161">
        <v>7</v>
      </c>
      <c r="W7" s="161">
        <v>8</v>
      </c>
      <c r="X7" s="161">
        <v>9</v>
      </c>
    </row>
    <row r="8" spans="1:34">
      <c r="A8" s="94"/>
      <c r="B8" s="94"/>
      <c r="C8" s="94"/>
      <c r="D8" s="150"/>
      <c r="E8" s="150"/>
      <c r="F8" s="150"/>
      <c r="G8" s="150"/>
      <c r="H8" s="150"/>
      <c r="I8" s="150"/>
      <c r="J8" s="150"/>
      <c r="K8" s="150"/>
      <c r="L8" s="150"/>
      <c r="M8" s="141">
        <v>34.525197001003797</v>
      </c>
      <c r="O8" s="174" t="s">
        <v>197</v>
      </c>
      <c r="Y8" s="175" t="s">
        <v>196</v>
      </c>
    </row>
    <row r="9" spans="1:34" ht="30.75" customHeight="1" thickBot="1">
      <c r="A9" s="126" t="s">
        <v>36</v>
      </c>
      <c r="B9" s="126" t="s">
        <v>37</v>
      </c>
      <c r="C9" s="126" t="s">
        <v>2</v>
      </c>
      <c r="D9" s="126" t="s">
        <v>38</v>
      </c>
      <c r="E9" s="126" t="s">
        <v>39</v>
      </c>
      <c r="F9" s="126" t="s">
        <v>40</v>
      </c>
      <c r="G9" s="127" t="s">
        <v>131</v>
      </c>
      <c r="H9" s="102" t="s">
        <v>41</v>
      </c>
      <c r="I9" s="102" t="s">
        <v>42</v>
      </c>
      <c r="J9" s="102" t="s">
        <v>43</v>
      </c>
      <c r="K9" s="102" t="s">
        <v>44</v>
      </c>
      <c r="L9" s="102" t="s">
        <v>45</v>
      </c>
      <c r="M9" s="102" t="s">
        <v>46</v>
      </c>
      <c r="N9" s="103"/>
      <c r="O9" s="156" t="s">
        <v>175</v>
      </c>
      <c r="P9" s="155" t="s">
        <v>36</v>
      </c>
      <c r="Q9" s="155" t="s">
        <v>38</v>
      </c>
      <c r="R9" s="155" t="s">
        <v>37</v>
      </c>
      <c r="S9" s="156" t="s">
        <v>41</v>
      </c>
      <c r="T9" s="156" t="s">
        <v>42</v>
      </c>
      <c r="U9" s="156" t="s">
        <v>43</v>
      </c>
      <c r="V9" s="156" t="s">
        <v>44</v>
      </c>
      <c r="W9" s="156" t="s">
        <v>45</v>
      </c>
      <c r="X9" s="156" t="s">
        <v>46</v>
      </c>
      <c r="Y9" s="164" t="s">
        <v>175</v>
      </c>
      <c r="Z9" s="165" t="s">
        <v>36</v>
      </c>
      <c r="AA9" s="166" t="s">
        <v>38</v>
      </c>
      <c r="AB9" s="165" t="s">
        <v>37</v>
      </c>
      <c r="AC9" s="164" t="s">
        <v>41</v>
      </c>
      <c r="AD9" s="164" t="s">
        <v>42</v>
      </c>
      <c r="AE9" s="164" t="s">
        <v>43</v>
      </c>
      <c r="AF9" s="164" t="s">
        <v>44</v>
      </c>
      <c r="AG9" s="164" t="s">
        <v>45</v>
      </c>
      <c r="AH9" s="164" t="s">
        <v>46</v>
      </c>
    </row>
    <row r="10" spans="1:34" ht="12.75" customHeight="1" thickTop="1">
      <c r="A10" s="104" t="s">
        <v>8</v>
      </c>
      <c r="B10" s="138" t="s">
        <v>159</v>
      </c>
      <c r="C10" s="104" t="s">
        <v>48</v>
      </c>
      <c r="D10" s="105" t="s">
        <v>99</v>
      </c>
      <c r="E10" s="104">
        <v>395</v>
      </c>
      <c r="F10" s="104">
        <v>8</v>
      </c>
      <c r="G10" s="93" t="s">
        <v>6</v>
      </c>
      <c r="H10" s="106">
        <f t="shared" ref="H10:H20" ca="1" si="0">S10</f>
        <v>75812.030414493536</v>
      </c>
      <c r="I10" s="106">
        <f t="shared" ref="I10:I20" ca="1" si="1">T10</f>
        <v>78840.138223539732</v>
      </c>
      <c r="J10" s="106">
        <f t="shared" ref="J10:J20" ca="1" si="2">U10</f>
        <v>81989.370344947776</v>
      </c>
      <c r="K10" s="106">
        <f t="shared" ref="K10:K20" ca="1" si="3">V10</f>
        <v>85264.571751212105</v>
      </c>
      <c r="L10" s="106">
        <f t="shared" ref="L10:L20" ca="1" si="4">W10</f>
        <v>88670.781213727052</v>
      </c>
      <c r="M10" s="106">
        <f t="shared" ref="M10:M20" ca="1" si="5">X10</f>
        <v>92213.23905474256</v>
      </c>
      <c r="N10" s="106"/>
      <c r="O10" s="157" t="s">
        <v>176</v>
      </c>
      <c r="P10" s="160" t="str">
        <f t="shared" ref="P10:P20" si="6">A10</f>
        <v>03960C</v>
      </c>
      <c r="Q10" s="152" t="str">
        <f t="shared" ref="Q10:Q20" si="7">D10</f>
        <v>Engineer</v>
      </c>
      <c r="R10" s="158" t="str">
        <f t="shared" ref="R10:R20" si="8">B10</f>
        <v>13</v>
      </c>
      <c r="S10" s="159" cm="1">
        <f t="array" aca="1" ref="S10" ca="1">IF($O10="Y",VLOOKUP($P10,INDIRECT($P$3),S$7,0)*INDIRECT($P$2),VLOOKUP($P10,INDIRECT($P$3),S$7,0))</f>
        <v>75812.030414493536</v>
      </c>
      <c r="T10" s="159" cm="1">
        <f t="array" aca="1" ref="T10" ca="1">IF($O10="Y",VLOOKUP($P10,INDIRECT($P$3),T$7,0)*INDIRECT($P$2),VLOOKUP($P10,INDIRECT($P$3),T$7,0))</f>
        <v>78840.138223539732</v>
      </c>
      <c r="U10" s="159" cm="1">
        <f t="array" aca="1" ref="U10" ca="1">IF($O10="Y",VLOOKUP($P10,INDIRECT($P$3),U$7,0)*INDIRECT($P$2),VLOOKUP($P10,INDIRECT($P$3),U$7,0))</f>
        <v>81989.370344947776</v>
      </c>
      <c r="V10" s="159" cm="1">
        <f t="array" aca="1" ref="V10" ca="1">IF($O10="Y",VLOOKUP($P10,INDIRECT($P$3),V$7,0)*INDIRECT($P$2),VLOOKUP($P10,INDIRECT($P$3),V$7,0))</f>
        <v>85264.571751212105</v>
      </c>
      <c r="W10" s="159" cm="1">
        <f t="array" aca="1" ref="W10" ca="1">IF($O10="Y",VLOOKUP($P10,INDIRECT($P$3),W$7,0)*INDIRECT($P$2),VLOOKUP($P10,INDIRECT($P$3),W$7,0))</f>
        <v>88670.781213727052</v>
      </c>
      <c r="X10" s="159" cm="1">
        <f t="array" aca="1" ref="X10" ca="1">IF($O10="Y",VLOOKUP($P10,INDIRECT($P$3),X$7,0)*INDIRECT($P$2),VLOOKUP($P10,INDIRECT($P$3),X$7,0))</f>
        <v>92213.23905474256</v>
      </c>
      <c r="Y10" s="167" t="str">
        <f t="shared" ref="Y10:Y20" si="9">O10</f>
        <v>Y</v>
      </c>
      <c r="Z10" s="167" t="str">
        <f t="shared" ref="Z10:Z20" si="10">P10</f>
        <v>03960C</v>
      </c>
      <c r="AA10" s="168" t="str">
        <f t="shared" ref="AA10:AA20" si="11">Q10</f>
        <v>Engineer</v>
      </c>
      <c r="AB10" s="167" t="str">
        <f t="shared" ref="AB10:AB20" si="12">R10</f>
        <v>13</v>
      </c>
      <c r="AC10" s="169">
        <f t="shared" ref="AC10:AC20" ca="1" si="13">ROUND(S10/2080,3)</f>
        <v>36.448</v>
      </c>
      <c r="AD10" s="169">
        <f t="shared" ref="AD10:AD20" ca="1" si="14">ROUND(T10/2080,3)</f>
        <v>37.904000000000003</v>
      </c>
      <c r="AE10" s="169">
        <f t="shared" ref="AE10:AE20" ca="1" si="15">ROUND(U10/2080,3)</f>
        <v>39.417999999999999</v>
      </c>
      <c r="AF10" s="169">
        <f t="shared" ref="AF10:AF20" ca="1" si="16">ROUND(V10/2080,3)</f>
        <v>40.993000000000002</v>
      </c>
      <c r="AG10" s="169">
        <f t="shared" ref="AG10:AG20" ca="1" si="17">ROUND(W10/2080,3)</f>
        <v>42.63</v>
      </c>
      <c r="AH10" s="169">
        <f t="shared" ref="AH10:AH20" ca="1" si="18">ROUND(X10/2080,3)</f>
        <v>44.332999999999998</v>
      </c>
    </row>
    <row r="11" spans="1:34" ht="12.75" customHeight="1">
      <c r="A11" s="104" t="s">
        <v>78</v>
      </c>
      <c r="B11" s="138" t="s">
        <v>160</v>
      </c>
      <c r="C11" s="104" t="s">
        <v>48</v>
      </c>
      <c r="D11" s="105" t="s">
        <v>92</v>
      </c>
      <c r="E11" s="104">
        <v>470</v>
      </c>
      <c r="F11" s="104">
        <v>10</v>
      </c>
      <c r="G11" s="93" t="s">
        <v>6</v>
      </c>
      <c r="H11" s="106">
        <f t="shared" ca="1" si="0"/>
        <v>92294.485747557759</v>
      </c>
      <c r="I11" s="106">
        <f t="shared" ca="1" si="1"/>
        <v>96908.558779248386</v>
      </c>
      <c r="J11" s="106">
        <f t="shared" ca="1" si="2"/>
        <v>101759.18059146137</v>
      </c>
      <c r="K11" s="106">
        <f t="shared" ca="1" si="3"/>
        <v>106843.42504235871</v>
      </c>
      <c r="L11" s="106">
        <f t="shared" ca="1" si="4"/>
        <v>112162.75520285948</v>
      </c>
      <c r="M11" s="106">
        <f t="shared" ca="1" si="5"/>
        <v>117696.95826826777</v>
      </c>
      <c r="N11" s="106"/>
      <c r="O11" s="157" t="s">
        <v>176</v>
      </c>
      <c r="P11" s="160" t="str">
        <f t="shared" si="6"/>
        <v>04106C</v>
      </c>
      <c r="Q11" s="152" t="str">
        <f t="shared" si="7"/>
        <v xml:space="preserve">Environmental Engineer </v>
      </c>
      <c r="R11" s="158" t="str">
        <f t="shared" si="8"/>
        <v>01</v>
      </c>
      <c r="S11" s="159" cm="1">
        <f t="array" aca="1" ref="S11" ca="1">IF($O11="Y",VLOOKUP($P11,INDIRECT($P$3),S$7,0)*INDIRECT($P$2),VLOOKUP($P11,INDIRECT($P$3),S$7,0))</f>
        <v>92294.485747557759</v>
      </c>
      <c r="T11" s="159" cm="1">
        <f t="array" aca="1" ref="T11" ca="1">IF($O11="Y",VLOOKUP($P11,INDIRECT($P$3),T$7,0)*INDIRECT($P$2),VLOOKUP($P11,INDIRECT($P$3),T$7,0))</f>
        <v>96908.558779248386</v>
      </c>
      <c r="U11" s="159" cm="1">
        <f t="array" aca="1" ref="U11" ca="1">IF($O11="Y",VLOOKUP($P11,INDIRECT($P$3),U$7,0)*INDIRECT($P$2),VLOOKUP($P11,INDIRECT($P$3),U$7,0))</f>
        <v>101759.18059146137</v>
      </c>
      <c r="V11" s="159" cm="1">
        <f t="array" aca="1" ref="V11" ca="1">IF($O11="Y",VLOOKUP($P11,INDIRECT($P$3),V$7,0)*INDIRECT($P$2),VLOOKUP($P11,INDIRECT($P$3),V$7,0))</f>
        <v>106843.42504235871</v>
      </c>
      <c r="W11" s="159" cm="1">
        <f t="array" aca="1" ref="W11" ca="1">IF($O11="Y",VLOOKUP($P11,INDIRECT($P$3),W$7,0)*INDIRECT($P$2),VLOOKUP($P11,INDIRECT($P$3),W$7,0))</f>
        <v>112162.75520285948</v>
      </c>
      <c r="X11" s="159" cm="1">
        <f t="array" aca="1" ref="X11" ca="1">IF($O11="Y",VLOOKUP($P11,INDIRECT($P$3),X$7,0)*INDIRECT($P$2),VLOOKUP($P11,INDIRECT($P$3),X$7,0))</f>
        <v>117696.95826826777</v>
      </c>
      <c r="Y11" s="167" t="str">
        <f t="shared" si="9"/>
        <v>Y</v>
      </c>
      <c r="Z11" s="167" t="str">
        <f t="shared" si="10"/>
        <v>04106C</v>
      </c>
      <c r="AA11" s="168" t="str">
        <f t="shared" si="11"/>
        <v xml:space="preserve">Environmental Engineer </v>
      </c>
      <c r="AB11" s="167" t="str">
        <f t="shared" si="12"/>
        <v>01</v>
      </c>
      <c r="AC11" s="169">
        <f t="shared" ca="1" si="13"/>
        <v>44.372</v>
      </c>
      <c r="AD11" s="169">
        <f t="shared" ca="1" si="14"/>
        <v>46.591000000000001</v>
      </c>
      <c r="AE11" s="169">
        <f t="shared" ca="1" si="15"/>
        <v>48.923000000000002</v>
      </c>
      <c r="AF11" s="169">
        <f t="shared" ca="1" si="16"/>
        <v>51.366999999999997</v>
      </c>
      <c r="AG11" s="169">
        <f t="shared" ca="1" si="17"/>
        <v>53.923999999999999</v>
      </c>
      <c r="AH11" s="169">
        <f t="shared" ca="1" si="18"/>
        <v>56.585000000000001</v>
      </c>
    </row>
    <row r="12" spans="1:34" ht="12.75" customHeight="1">
      <c r="A12" s="104" t="s">
        <v>13</v>
      </c>
      <c r="B12" s="138" t="s">
        <v>160</v>
      </c>
      <c r="C12" s="104" t="s">
        <v>48</v>
      </c>
      <c r="D12" s="105" t="s">
        <v>100</v>
      </c>
      <c r="E12" s="104">
        <v>470</v>
      </c>
      <c r="F12" s="104">
        <v>10</v>
      </c>
      <c r="G12" s="93" t="s">
        <v>6</v>
      </c>
      <c r="H12" s="106">
        <f t="shared" ca="1" si="0"/>
        <v>92294.485747557759</v>
      </c>
      <c r="I12" s="106">
        <f t="shared" ca="1" si="1"/>
        <v>96908.558779248386</v>
      </c>
      <c r="J12" s="106">
        <f t="shared" ca="1" si="2"/>
        <v>101759.18059146137</v>
      </c>
      <c r="K12" s="106">
        <f t="shared" ca="1" si="3"/>
        <v>106843.42504235871</v>
      </c>
      <c r="L12" s="106">
        <f t="shared" ca="1" si="4"/>
        <v>112162.75520285948</v>
      </c>
      <c r="M12" s="106">
        <f t="shared" ca="1" si="5"/>
        <v>117696.95826826777</v>
      </c>
      <c r="N12" s="106"/>
      <c r="O12" s="157" t="s">
        <v>176</v>
      </c>
      <c r="P12" s="160" t="str">
        <f t="shared" si="6"/>
        <v>07890C</v>
      </c>
      <c r="Q12" s="152" t="str">
        <f t="shared" si="7"/>
        <v>Plan Examiner II Engineer</v>
      </c>
      <c r="R12" s="158" t="str">
        <f t="shared" si="8"/>
        <v>01</v>
      </c>
      <c r="S12" s="159" cm="1">
        <f t="array" aca="1" ref="S12" ca="1">IF($O12="Y",VLOOKUP($P12,INDIRECT($P$3),S$7,0)*INDIRECT($P$2),VLOOKUP($P12,INDIRECT($P$3),S$7,0))</f>
        <v>92294.485747557759</v>
      </c>
      <c r="T12" s="159" cm="1">
        <f t="array" aca="1" ref="T12" ca="1">IF($O12="Y",VLOOKUP($P12,INDIRECT($P$3),T$7,0)*INDIRECT($P$2),VLOOKUP($P12,INDIRECT($P$3),T$7,0))</f>
        <v>96908.558779248386</v>
      </c>
      <c r="U12" s="159" cm="1">
        <f t="array" aca="1" ref="U12" ca="1">IF($O12="Y",VLOOKUP($P12,INDIRECT($P$3),U$7,0)*INDIRECT($P$2),VLOOKUP($P12,INDIRECT($P$3),U$7,0))</f>
        <v>101759.18059146137</v>
      </c>
      <c r="V12" s="159" cm="1">
        <f t="array" aca="1" ref="V12" ca="1">IF($O12="Y",VLOOKUP($P12,INDIRECT($P$3),V$7,0)*INDIRECT($P$2),VLOOKUP($P12,INDIRECT($P$3),V$7,0))</f>
        <v>106843.42504235871</v>
      </c>
      <c r="W12" s="159" cm="1">
        <f t="array" aca="1" ref="W12" ca="1">IF($O12="Y",VLOOKUP($P12,INDIRECT($P$3),W$7,0)*INDIRECT($P$2),VLOOKUP($P12,INDIRECT($P$3),W$7,0))</f>
        <v>112162.75520285948</v>
      </c>
      <c r="X12" s="159" cm="1">
        <f t="array" aca="1" ref="X12" ca="1">IF($O12="Y",VLOOKUP($P12,INDIRECT($P$3),X$7,0)*INDIRECT($P$2),VLOOKUP($P12,INDIRECT($P$3),X$7,0))</f>
        <v>117696.95826826777</v>
      </c>
      <c r="Y12" s="167" t="str">
        <f t="shared" si="9"/>
        <v>Y</v>
      </c>
      <c r="Z12" s="167" t="str">
        <f t="shared" si="10"/>
        <v>07890C</v>
      </c>
      <c r="AA12" s="168" t="str">
        <f t="shared" si="11"/>
        <v>Plan Examiner II Engineer</v>
      </c>
      <c r="AB12" s="167" t="str">
        <f t="shared" si="12"/>
        <v>01</v>
      </c>
      <c r="AC12" s="169">
        <f t="shared" ca="1" si="13"/>
        <v>44.372</v>
      </c>
      <c r="AD12" s="169">
        <f t="shared" ca="1" si="14"/>
        <v>46.591000000000001</v>
      </c>
      <c r="AE12" s="169">
        <f t="shared" ca="1" si="15"/>
        <v>48.923000000000002</v>
      </c>
      <c r="AF12" s="169">
        <f t="shared" ca="1" si="16"/>
        <v>51.366999999999997</v>
      </c>
      <c r="AG12" s="169">
        <f t="shared" ca="1" si="17"/>
        <v>53.923999999999999</v>
      </c>
      <c r="AH12" s="169">
        <f t="shared" ca="1" si="18"/>
        <v>56.585000000000001</v>
      </c>
    </row>
    <row r="13" spans="1:34" ht="12.75" customHeight="1">
      <c r="A13" s="104" t="s">
        <v>9</v>
      </c>
      <c r="B13" s="138" t="s">
        <v>161</v>
      </c>
      <c r="C13" s="104" t="s">
        <v>48</v>
      </c>
      <c r="D13" s="105" t="s">
        <v>101</v>
      </c>
      <c r="E13" s="104">
        <v>578</v>
      </c>
      <c r="F13" s="104">
        <v>12</v>
      </c>
      <c r="G13" s="93" t="s">
        <v>6</v>
      </c>
      <c r="H13" s="106">
        <f t="shared" ca="1" si="0"/>
        <v>110790.1979858335</v>
      </c>
      <c r="I13" s="106">
        <f t="shared" ca="1" si="1"/>
        <v>116314.07535864052</v>
      </c>
      <c r="J13" s="106">
        <f t="shared" ca="1" si="2"/>
        <v>122142.92431167845</v>
      </c>
      <c r="K13" s="106">
        <f t="shared" ca="1" si="3"/>
        <v>128240.95275408005</v>
      </c>
      <c r="L13" s="106">
        <f t="shared" ca="1" si="4"/>
        <v>134643.9542085107</v>
      </c>
      <c r="M13" s="106">
        <f t="shared" ca="1" si="5"/>
        <v>141288.48055039733</v>
      </c>
      <c r="N13" s="106"/>
      <c r="O13" s="157" t="s">
        <v>176</v>
      </c>
      <c r="P13" s="160" t="str">
        <f t="shared" si="6"/>
        <v>04000C</v>
      </c>
      <c r="Q13" s="152" t="str">
        <f t="shared" si="7"/>
        <v>Principal Professional Engr</v>
      </c>
      <c r="R13" s="158" t="str">
        <f t="shared" si="8"/>
        <v>04</v>
      </c>
      <c r="S13" s="159" cm="1">
        <f t="array" aca="1" ref="S13" ca="1">IF($O13="Y",VLOOKUP($P13,INDIRECT($P$3),S$7,0)*INDIRECT($P$2),VLOOKUP($P13,INDIRECT($P$3),S$7,0))</f>
        <v>110790.1979858335</v>
      </c>
      <c r="T13" s="159" cm="1">
        <f t="array" aca="1" ref="T13" ca="1">IF($O13="Y",VLOOKUP($P13,INDIRECT($P$3),T$7,0)*INDIRECT($P$2),VLOOKUP($P13,INDIRECT($P$3),T$7,0))</f>
        <v>116314.07535864052</v>
      </c>
      <c r="U13" s="159" cm="1">
        <f t="array" aca="1" ref="U13" ca="1">IF($O13="Y",VLOOKUP($P13,INDIRECT($P$3),U$7,0)*INDIRECT($P$2),VLOOKUP($P13,INDIRECT($P$3),U$7,0))</f>
        <v>122142.92431167845</v>
      </c>
      <c r="V13" s="159" cm="1">
        <f t="array" aca="1" ref="V13" ca="1">IF($O13="Y",VLOOKUP($P13,INDIRECT($P$3),V$7,0)*INDIRECT($P$2),VLOOKUP($P13,INDIRECT($P$3),V$7,0))</f>
        <v>128240.95275408005</v>
      </c>
      <c r="W13" s="159" cm="1">
        <f t="array" aca="1" ref="W13" ca="1">IF($O13="Y",VLOOKUP($P13,INDIRECT($P$3),W$7,0)*INDIRECT($P$2),VLOOKUP($P13,INDIRECT($P$3),W$7,0))</f>
        <v>134643.9542085107</v>
      </c>
      <c r="X13" s="159" cm="1">
        <f t="array" aca="1" ref="X13" ca="1">IF($O13="Y",VLOOKUP($P13,INDIRECT($P$3),X$7,0)*INDIRECT($P$2),VLOOKUP($P13,INDIRECT($P$3),X$7,0))</f>
        <v>141288.48055039733</v>
      </c>
      <c r="Y13" s="167" t="str">
        <f t="shared" si="9"/>
        <v>Y</v>
      </c>
      <c r="Z13" s="167" t="str">
        <f t="shared" si="10"/>
        <v>04000C</v>
      </c>
      <c r="AA13" s="168" t="str">
        <f t="shared" si="11"/>
        <v>Principal Professional Engr</v>
      </c>
      <c r="AB13" s="167" t="str">
        <f t="shared" si="12"/>
        <v>04</v>
      </c>
      <c r="AC13" s="169">
        <f t="shared" ca="1" si="13"/>
        <v>53.265000000000001</v>
      </c>
      <c r="AD13" s="169">
        <f t="shared" ca="1" si="14"/>
        <v>55.92</v>
      </c>
      <c r="AE13" s="169">
        <f t="shared" ca="1" si="15"/>
        <v>58.722999999999999</v>
      </c>
      <c r="AF13" s="169">
        <f t="shared" ca="1" si="16"/>
        <v>61.654000000000003</v>
      </c>
      <c r="AG13" s="169">
        <f t="shared" ca="1" si="17"/>
        <v>64.733000000000004</v>
      </c>
      <c r="AH13" s="169">
        <f t="shared" ca="1" si="18"/>
        <v>67.927000000000007</v>
      </c>
    </row>
    <row r="14" spans="1:34" ht="12.75" customHeight="1">
      <c r="A14" s="104" t="s">
        <v>10</v>
      </c>
      <c r="B14" s="138" t="s">
        <v>160</v>
      </c>
      <c r="C14" s="104" t="s">
        <v>48</v>
      </c>
      <c r="D14" s="105" t="s">
        <v>102</v>
      </c>
      <c r="E14" s="104">
        <v>485</v>
      </c>
      <c r="F14" s="104">
        <v>10</v>
      </c>
      <c r="G14" s="93" t="s">
        <v>6</v>
      </c>
      <c r="H14" s="106">
        <f t="shared" ca="1" si="0"/>
        <v>92294.485747557759</v>
      </c>
      <c r="I14" s="106">
        <f t="shared" ca="1" si="1"/>
        <v>96908.558779248386</v>
      </c>
      <c r="J14" s="106">
        <f t="shared" ca="1" si="2"/>
        <v>101759.18059146137</v>
      </c>
      <c r="K14" s="106">
        <f t="shared" ca="1" si="3"/>
        <v>106843.42504235871</v>
      </c>
      <c r="L14" s="106">
        <f t="shared" ca="1" si="4"/>
        <v>112162.75520285948</v>
      </c>
      <c r="M14" s="106">
        <f t="shared" ca="1" si="5"/>
        <v>117696.95826826777</v>
      </c>
      <c r="N14" s="106"/>
      <c r="O14" s="157" t="s">
        <v>176</v>
      </c>
      <c r="P14" s="160" t="str">
        <f t="shared" si="6"/>
        <v>03980C</v>
      </c>
      <c r="Q14" s="152" t="str">
        <f t="shared" si="7"/>
        <v>Professional Engineer</v>
      </c>
      <c r="R14" s="158" t="str">
        <f t="shared" si="8"/>
        <v>01</v>
      </c>
      <c r="S14" s="159" cm="1">
        <f t="array" aca="1" ref="S14" ca="1">IF($O14="Y",VLOOKUP($P14,INDIRECT($P$3),S$7,0)*INDIRECT($P$2),VLOOKUP($P14,INDIRECT($P$3),S$7,0))</f>
        <v>92294.485747557759</v>
      </c>
      <c r="T14" s="159" cm="1">
        <f t="array" aca="1" ref="T14" ca="1">IF($O14="Y",VLOOKUP($P14,INDIRECT($P$3),T$7,0)*INDIRECT($P$2),VLOOKUP($P14,INDIRECT($P$3),T$7,0))</f>
        <v>96908.558779248386</v>
      </c>
      <c r="U14" s="159" cm="1">
        <f t="array" aca="1" ref="U14" ca="1">IF($O14="Y",VLOOKUP($P14,INDIRECT($P$3),U$7,0)*INDIRECT($P$2),VLOOKUP($P14,INDIRECT($P$3),U$7,0))</f>
        <v>101759.18059146137</v>
      </c>
      <c r="V14" s="159" cm="1">
        <f t="array" aca="1" ref="V14" ca="1">IF($O14="Y",VLOOKUP($P14,INDIRECT($P$3),V$7,0)*INDIRECT($P$2),VLOOKUP($P14,INDIRECT($P$3),V$7,0))</f>
        <v>106843.42504235871</v>
      </c>
      <c r="W14" s="159" cm="1">
        <f t="array" aca="1" ref="W14" ca="1">IF($O14="Y",VLOOKUP($P14,INDIRECT($P$3),W$7,0)*INDIRECT($P$2),VLOOKUP($P14,INDIRECT($P$3),W$7,0))</f>
        <v>112162.75520285948</v>
      </c>
      <c r="X14" s="159" cm="1">
        <f t="array" aca="1" ref="X14" ca="1">IF($O14="Y",VLOOKUP($P14,INDIRECT($P$3),X$7,0)*INDIRECT($P$2),VLOOKUP($P14,INDIRECT($P$3),X$7,0))</f>
        <v>117696.95826826777</v>
      </c>
      <c r="Y14" s="167" t="str">
        <f t="shared" si="9"/>
        <v>Y</v>
      </c>
      <c r="Z14" s="167" t="str">
        <f t="shared" si="10"/>
        <v>03980C</v>
      </c>
      <c r="AA14" s="168" t="str">
        <f t="shared" si="11"/>
        <v>Professional Engineer</v>
      </c>
      <c r="AB14" s="167" t="str">
        <f t="shared" si="12"/>
        <v>01</v>
      </c>
      <c r="AC14" s="169">
        <f t="shared" ca="1" si="13"/>
        <v>44.372</v>
      </c>
      <c r="AD14" s="169">
        <f t="shared" ca="1" si="14"/>
        <v>46.591000000000001</v>
      </c>
      <c r="AE14" s="169">
        <f t="shared" ca="1" si="15"/>
        <v>48.923000000000002</v>
      </c>
      <c r="AF14" s="169">
        <f t="shared" ca="1" si="16"/>
        <v>51.366999999999997</v>
      </c>
      <c r="AG14" s="169">
        <f t="shared" ca="1" si="17"/>
        <v>53.923999999999999</v>
      </c>
      <c r="AH14" s="169">
        <f t="shared" ca="1" si="18"/>
        <v>56.585000000000001</v>
      </c>
    </row>
    <row r="15" spans="1:34" ht="12.75" customHeight="1">
      <c r="A15" s="104" t="s">
        <v>11</v>
      </c>
      <c r="B15" s="138" t="s">
        <v>162</v>
      </c>
      <c r="C15" s="104" t="s">
        <v>48</v>
      </c>
      <c r="D15" s="105" t="s">
        <v>103</v>
      </c>
      <c r="E15" s="104">
        <v>523</v>
      </c>
      <c r="F15" s="104">
        <v>11</v>
      </c>
      <c r="G15" s="93" t="s">
        <v>6</v>
      </c>
      <c r="H15" s="106">
        <f t="shared" ca="1" si="0"/>
        <v>100741.83693704198</v>
      </c>
      <c r="I15" s="106">
        <f t="shared" ca="1" si="1"/>
        <v>105768.88034189568</v>
      </c>
      <c r="J15" s="106">
        <f t="shared" ca="1" si="2"/>
        <v>111059.37461160078</v>
      </c>
      <c r="K15" s="106">
        <f t="shared" ca="1" si="3"/>
        <v>116581.82018622935</v>
      </c>
      <c r="L15" s="106">
        <f t="shared" ca="1" si="4"/>
        <v>122412.10380104216</v>
      </c>
      <c r="M15" s="106">
        <f t="shared" ca="1" si="5"/>
        <v>128452.51164291464</v>
      </c>
      <c r="N15" s="106"/>
      <c r="O15" s="157" t="s">
        <v>176</v>
      </c>
      <c r="P15" s="160" t="str">
        <f t="shared" si="6"/>
        <v>03990C</v>
      </c>
      <c r="Q15" s="152" t="str">
        <f t="shared" si="7"/>
        <v>Senior Professional Engineer</v>
      </c>
      <c r="R15" s="158" t="str">
        <f t="shared" si="8"/>
        <v>02</v>
      </c>
      <c r="S15" s="159" cm="1">
        <f t="array" aca="1" ref="S15" ca="1">IF($O15="Y",VLOOKUP($P15,INDIRECT($P$3),S$7,0)*INDIRECT($P$2),VLOOKUP($P15,INDIRECT($P$3),S$7,0))</f>
        <v>100741.83693704198</v>
      </c>
      <c r="T15" s="159" cm="1">
        <f t="array" aca="1" ref="T15" ca="1">IF($O15="Y",VLOOKUP($P15,INDIRECT($P$3),T$7,0)*INDIRECT($P$2),VLOOKUP($P15,INDIRECT($P$3),T$7,0))</f>
        <v>105768.88034189568</v>
      </c>
      <c r="U15" s="159" cm="1">
        <f t="array" aca="1" ref="U15" ca="1">IF($O15="Y",VLOOKUP($P15,INDIRECT($P$3),U$7,0)*INDIRECT($P$2),VLOOKUP($P15,INDIRECT($P$3),U$7,0))</f>
        <v>111059.37461160078</v>
      </c>
      <c r="V15" s="159" cm="1">
        <f t="array" aca="1" ref="V15" ca="1">IF($O15="Y",VLOOKUP($P15,INDIRECT($P$3),V$7,0)*INDIRECT($P$2),VLOOKUP($P15,INDIRECT($P$3),V$7,0))</f>
        <v>116581.82018622935</v>
      </c>
      <c r="W15" s="159" cm="1">
        <f t="array" aca="1" ref="W15" ca="1">IF($O15="Y",VLOOKUP($P15,INDIRECT($P$3),W$7,0)*INDIRECT($P$2),VLOOKUP($P15,INDIRECT($P$3),W$7,0))</f>
        <v>122412.10380104216</v>
      </c>
      <c r="X15" s="159" cm="1">
        <f t="array" aca="1" ref="X15" ca="1">IF($O15="Y",VLOOKUP($P15,INDIRECT($P$3),X$7,0)*INDIRECT($P$2),VLOOKUP($P15,INDIRECT($P$3),X$7,0))</f>
        <v>128452.51164291464</v>
      </c>
      <c r="Y15" s="167" t="str">
        <f t="shared" si="9"/>
        <v>Y</v>
      </c>
      <c r="Z15" s="167" t="str">
        <f t="shared" si="10"/>
        <v>03990C</v>
      </c>
      <c r="AA15" s="168" t="str">
        <f t="shared" si="11"/>
        <v>Senior Professional Engineer</v>
      </c>
      <c r="AB15" s="167" t="str">
        <f t="shared" si="12"/>
        <v>02</v>
      </c>
      <c r="AC15" s="169">
        <f t="shared" ca="1" si="13"/>
        <v>48.433999999999997</v>
      </c>
      <c r="AD15" s="169">
        <f t="shared" ca="1" si="14"/>
        <v>50.85</v>
      </c>
      <c r="AE15" s="169">
        <f t="shared" ca="1" si="15"/>
        <v>53.393999999999998</v>
      </c>
      <c r="AF15" s="169">
        <f t="shared" ca="1" si="16"/>
        <v>56.048999999999999</v>
      </c>
      <c r="AG15" s="169">
        <f t="shared" ca="1" si="17"/>
        <v>58.851999999999997</v>
      </c>
      <c r="AH15" s="169">
        <f t="shared" ca="1" si="18"/>
        <v>61.756</v>
      </c>
    </row>
    <row r="16" spans="1:34" ht="12.75" customHeight="1">
      <c r="A16" s="104" t="s">
        <v>172</v>
      </c>
      <c r="B16" s="138" t="s">
        <v>163</v>
      </c>
      <c r="C16" s="104" t="s">
        <v>48</v>
      </c>
      <c r="D16" s="105" t="s">
        <v>173</v>
      </c>
      <c r="E16" s="104">
        <v>625</v>
      </c>
      <c r="F16" s="104">
        <v>13</v>
      </c>
      <c r="G16" s="93" t="s">
        <v>6</v>
      </c>
      <c r="H16" s="106">
        <f t="shared" ca="1" si="0"/>
        <v>116926.88497905566</v>
      </c>
      <c r="I16" s="106">
        <f t="shared" ca="1" si="1"/>
        <v>122755.73393209356</v>
      </c>
      <c r="J16" s="106">
        <f t="shared" ca="1" si="2"/>
        <v>128892.42092531575</v>
      </c>
      <c r="K16" s="106">
        <f t="shared" ca="1" si="3"/>
        <v>135335.51416054368</v>
      </c>
      <c r="L16" s="106">
        <f t="shared" ca="1" si="4"/>
        <v>142085.01077418093</v>
      </c>
      <c r="M16" s="106">
        <f t="shared" ca="1" si="5"/>
        <v>149097.04323993486</v>
      </c>
      <c r="N16" s="106"/>
      <c r="O16" s="157" t="s">
        <v>176</v>
      </c>
      <c r="P16" s="160" t="str">
        <f t="shared" si="6"/>
        <v>53044C</v>
      </c>
      <c r="Q16" s="152" t="str">
        <f t="shared" si="7"/>
        <v>Sewer Operations Engineer</v>
      </c>
      <c r="R16" s="158" t="str">
        <f t="shared" si="8"/>
        <v>05</v>
      </c>
      <c r="S16" s="159" cm="1">
        <f t="array" aca="1" ref="S16" ca="1">IF($O16="Y",VLOOKUP($P16,INDIRECT($P$3),S$7,0)*INDIRECT($P$2),VLOOKUP($P16,INDIRECT($P$3),S$7,0))</f>
        <v>116926.88497905566</v>
      </c>
      <c r="T16" s="159" cm="1">
        <f t="array" aca="1" ref="T16" ca="1">IF($O16="Y",VLOOKUP($P16,INDIRECT($P$3),T$7,0)*INDIRECT($P$2),VLOOKUP($P16,INDIRECT($P$3),T$7,0))</f>
        <v>122755.73393209356</v>
      </c>
      <c r="U16" s="159" cm="1">
        <f t="array" aca="1" ref="U16" ca="1">IF($O16="Y",VLOOKUP($P16,INDIRECT($P$3),U$7,0)*INDIRECT($P$2),VLOOKUP($P16,INDIRECT($P$3),U$7,0))</f>
        <v>128892.42092531575</v>
      </c>
      <c r="V16" s="159" cm="1">
        <f t="array" aca="1" ref="V16" ca="1">IF($O16="Y",VLOOKUP($P16,INDIRECT($P$3),V$7,0)*INDIRECT($P$2),VLOOKUP($P16,INDIRECT($P$3),V$7,0))</f>
        <v>135335.51416054368</v>
      </c>
      <c r="W16" s="159" cm="1">
        <f t="array" aca="1" ref="W16" ca="1">IF($O16="Y",VLOOKUP($P16,INDIRECT($P$3),W$7,0)*INDIRECT($P$2),VLOOKUP($P16,INDIRECT($P$3),W$7,0))</f>
        <v>142085.01077418093</v>
      </c>
      <c r="X16" s="159" cm="1">
        <f t="array" aca="1" ref="X16" ca="1">IF($O16="Y",VLOOKUP($P16,INDIRECT($P$3),X$7,0)*INDIRECT($P$2),VLOOKUP($P16,INDIRECT($P$3),X$7,0))</f>
        <v>149097.04323993486</v>
      </c>
      <c r="Y16" s="167" t="str">
        <f t="shared" si="9"/>
        <v>Y</v>
      </c>
      <c r="Z16" s="167" t="str">
        <f t="shared" si="10"/>
        <v>53044C</v>
      </c>
      <c r="AA16" s="168" t="str">
        <f t="shared" si="11"/>
        <v>Sewer Operations Engineer</v>
      </c>
      <c r="AB16" s="167" t="str">
        <f t="shared" si="12"/>
        <v>05</v>
      </c>
      <c r="AC16" s="169">
        <f t="shared" ca="1" si="13"/>
        <v>56.215000000000003</v>
      </c>
      <c r="AD16" s="169">
        <f t="shared" ca="1" si="14"/>
        <v>59.017000000000003</v>
      </c>
      <c r="AE16" s="169">
        <f t="shared" ca="1" si="15"/>
        <v>61.968000000000004</v>
      </c>
      <c r="AF16" s="169">
        <f t="shared" ca="1" si="16"/>
        <v>65.064999999999998</v>
      </c>
      <c r="AG16" s="169">
        <f t="shared" ca="1" si="17"/>
        <v>68.31</v>
      </c>
      <c r="AH16" s="169">
        <f t="shared" ca="1" si="18"/>
        <v>71.680999999999997</v>
      </c>
    </row>
    <row r="17" spans="1:34" ht="12.75" customHeight="1">
      <c r="A17" s="104" t="s">
        <v>16</v>
      </c>
      <c r="B17" s="138" t="s">
        <v>163</v>
      </c>
      <c r="C17" s="104" t="s">
        <v>48</v>
      </c>
      <c r="D17" s="105" t="s">
        <v>104</v>
      </c>
      <c r="E17" s="104">
        <v>625</v>
      </c>
      <c r="F17" s="104">
        <v>13</v>
      </c>
      <c r="G17" s="93" t="s">
        <v>6</v>
      </c>
      <c r="H17" s="106">
        <f t="shared" ca="1" si="0"/>
        <v>116926.88497905566</v>
      </c>
      <c r="I17" s="106">
        <f t="shared" ca="1" si="1"/>
        <v>122755.73393209356</v>
      </c>
      <c r="J17" s="106">
        <f t="shared" ca="1" si="2"/>
        <v>128892.42092531575</v>
      </c>
      <c r="K17" s="106">
        <f t="shared" ca="1" si="3"/>
        <v>135335.51416054368</v>
      </c>
      <c r="L17" s="106">
        <f t="shared" ca="1" si="4"/>
        <v>142085.01077418093</v>
      </c>
      <c r="M17" s="106">
        <f t="shared" ca="1" si="5"/>
        <v>149097.04323993486</v>
      </c>
      <c r="N17" s="106"/>
      <c r="O17" s="157" t="s">
        <v>176</v>
      </c>
      <c r="P17" s="160" t="str">
        <f t="shared" si="6"/>
        <v>09440C</v>
      </c>
      <c r="Q17" s="152" t="str">
        <f t="shared" si="7"/>
        <v>Street Maintenance Engineer</v>
      </c>
      <c r="R17" s="158" t="str">
        <f t="shared" si="8"/>
        <v>05</v>
      </c>
      <c r="S17" s="159" cm="1">
        <f t="array" aca="1" ref="S17" ca="1">IF($O17="Y",VLOOKUP($P17,INDIRECT($P$3),S$7,0)*INDIRECT($P$2),VLOOKUP($P17,INDIRECT($P$3),S$7,0))</f>
        <v>116926.88497905566</v>
      </c>
      <c r="T17" s="159" cm="1">
        <f t="array" aca="1" ref="T17" ca="1">IF($O17="Y",VLOOKUP($P17,INDIRECT($P$3),T$7,0)*INDIRECT($P$2),VLOOKUP($P17,INDIRECT($P$3),T$7,0))</f>
        <v>122755.73393209356</v>
      </c>
      <c r="U17" s="159" cm="1">
        <f t="array" aca="1" ref="U17" ca="1">IF($O17="Y",VLOOKUP($P17,INDIRECT($P$3),U$7,0)*INDIRECT($P$2),VLOOKUP($P17,INDIRECT($P$3),U$7,0))</f>
        <v>128892.42092531575</v>
      </c>
      <c r="V17" s="159" cm="1">
        <f t="array" aca="1" ref="V17" ca="1">IF($O17="Y",VLOOKUP($P17,INDIRECT($P$3),V$7,0)*INDIRECT($P$2),VLOOKUP($P17,INDIRECT($P$3),V$7,0))</f>
        <v>135335.51416054368</v>
      </c>
      <c r="W17" s="159" cm="1">
        <f t="array" aca="1" ref="W17" ca="1">IF($O17="Y",VLOOKUP($P17,INDIRECT($P$3),W$7,0)*INDIRECT($P$2),VLOOKUP($P17,INDIRECT($P$3),W$7,0))</f>
        <v>142085.01077418093</v>
      </c>
      <c r="X17" s="159" cm="1">
        <f t="array" aca="1" ref="X17" ca="1">IF($O17="Y",VLOOKUP($P17,INDIRECT($P$3),X$7,0)*INDIRECT($P$2),VLOOKUP($P17,INDIRECT($P$3),X$7,0))</f>
        <v>149097.04323993486</v>
      </c>
      <c r="Y17" s="167" t="str">
        <f t="shared" si="9"/>
        <v>Y</v>
      </c>
      <c r="Z17" s="167" t="str">
        <f t="shared" si="10"/>
        <v>09440C</v>
      </c>
      <c r="AA17" s="168" t="str">
        <f t="shared" si="11"/>
        <v>Street Maintenance Engineer</v>
      </c>
      <c r="AB17" s="167" t="str">
        <f t="shared" si="12"/>
        <v>05</v>
      </c>
      <c r="AC17" s="169">
        <f t="shared" ca="1" si="13"/>
        <v>56.215000000000003</v>
      </c>
      <c r="AD17" s="169">
        <f t="shared" ca="1" si="14"/>
        <v>59.017000000000003</v>
      </c>
      <c r="AE17" s="169">
        <f t="shared" ca="1" si="15"/>
        <v>61.968000000000004</v>
      </c>
      <c r="AF17" s="169">
        <f t="shared" ca="1" si="16"/>
        <v>65.064999999999998</v>
      </c>
      <c r="AG17" s="169">
        <f t="shared" ca="1" si="17"/>
        <v>68.31</v>
      </c>
      <c r="AH17" s="169">
        <f t="shared" ca="1" si="18"/>
        <v>71.680999999999997</v>
      </c>
    </row>
    <row r="18" spans="1:34" ht="12.75" customHeight="1">
      <c r="A18" s="104" t="s">
        <v>18</v>
      </c>
      <c r="B18" s="138" t="s">
        <v>163</v>
      </c>
      <c r="C18" s="104" t="s">
        <v>48</v>
      </c>
      <c r="D18" s="105" t="s">
        <v>105</v>
      </c>
      <c r="E18" s="104">
        <v>588</v>
      </c>
      <c r="F18" s="104">
        <v>13</v>
      </c>
      <c r="G18" s="93" t="s">
        <v>6</v>
      </c>
      <c r="H18" s="106">
        <f t="shared" ca="1" si="0"/>
        <v>116926.88497905566</v>
      </c>
      <c r="I18" s="106">
        <f t="shared" ca="1" si="1"/>
        <v>122755.73393209356</v>
      </c>
      <c r="J18" s="106">
        <f t="shared" ca="1" si="2"/>
        <v>128892.42092531575</v>
      </c>
      <c r="K18" s="106">
        <f t="shared" ca="1" si="3"/>
        <v>135335.51416054368</v>
      </c>
      <c r="L18" s="106">
        <f t="shared" ca="1" si="4"/>
        <v>142085.01077418093</v>
      </c>
      <c r="M18" s="106">
        <f t="shared" ca="1" si="5"/>
        <v>149097.04323993486</v>
      </c>
      <c r="N18" s="106"/>
      <c r="O18" s="157" t="s">
        <v>176</v>
      </c>
      <c r="P18" s="160" t="str">
        <f t="shared" si="6"/>
        <v>09750C</v>
      </c>
      <c r="Q18" s="152" t="str">
        <f t="shared" si="7"/>
        <v>Supt, Environmental Engnrg</v>
      </c>
      <c r="R18" s="158" t="str">
        <f t="shared" si="8"/>
        <v>05</v>
      </c>
      <c r="S18" s="159" cm="1">
        <f t="array" aca="1" ref="S18" ca="1">IF($O18="Y",VLOOKUP($P18,INDIRECT($P$3),S$7,0)*INDIRECT($P$2),VLOOKUP($P18,INDIRECT($P$3),S$7,0))</f>
        <v>116926.88497905566</v>
      </c>
      <c r="T18" s="159" cm="1">
        <f t="array" aca="1" ref="T18" ca="1">IF($O18="Y",VLOOKUP($P18,INDIRECT($P$3),T$7,0)*INDIRECT($P$2),VLOOKUP($P18,INDIRECT($P$3),T$7,0))</f>
        <v>122755.73393209356</v>
      </c>
      <c r="U18" s="159" cm="1">
        <f t="array" aca="1" ref="U18" ca="1">IF($O18="Y",VLOOKUP($P18,INDIRECT($P$3),U$7,0)*INDIRECT($P$2),VLOOKUP($P18,INDIRECT($P$3),U$7,0))</f>
        <v>128892.42092531575</v>
      </c>
      <c r="V18" s="159" cm="1">
        <f t="array" aca="1" ref="V18" ca="1">IF($O18="Y",VLOOKUP($P18,INDIRECT($P$3),V$7,0)*INDIRECT($P$2),VLOOKUP($P18,INDIRECT($P$3),V$7,0))</f>
        <v>135335.51416054368</v>
      </c>
      <c r="W18" s="159" cm="1">
        <f t="array" aca="1" ref="W18" ca="1">IF($O18="Y",VLOOKUP($P18,INDIRECT($P$3),W$7,0)*INDIRECT($P$2),VLOOKUP($P18,INDIRECT($P$3),W$7,0))</f>
        <v>142085.01077418093</v>
      </c>
      <c r="X18" s="159" cm="1">
        <f t="array" aca="1" ref="X18" ca="1">IF($O18="Y",VLOOKUP($P18,INDIRECT($P$3),X$7,0)*INDIRECT($P$2),VLOOKUP($P18,INDIRECT($P$3),X$7,0))</f>
        <v>149097.04323993486</v>
      </c>
      <c r="Y18" s="167" t="str">
        <f t="shared" si="9"/>
        <v>Y</v>
      </c>
      <c r="Z18" s="167" t="str">
        <f t="shared" si="10"/>
        <v>09750C</v>
      </c>
      <c r="AA18" s="168" t="str">
        <f t="shared" si="11"/>
        <v>Supt, Environmental Engnrg</v>
      </c>
      <c r="AB18" s="167" t="str">
        <f t="shared" si="12"/>
        <v>05</v>
      </c>
      <c r="AC18" s="169">
        <f t="shared" ca="1" si="13"/>
        <v>56.215000000000003</v>
      </c>
      <c r="AD18" s="169">
        <f t="shared" ca="1" si="14"/>
        <v>59.017000000000003</v>
      </c>
      <c r="AE18" s="169">
        <f t="shared" ca="1" si="15"/>
        <v>61.968000000000004</v>
      </c>
      <c r="AF18" s="169">
        <f t="shared" ca="1" si="16"/>
        <v>65.064999999999998</v>
      </c>
      <c r="AG18" s="169">
        <f t="shared" ca="1" si="17"/>
        <v>68.31</v>
      </c>
      <c r="AH18" s="169">
        <f t="shared" ca="1" si="18"/>
        <v>71.680999999999997</v>
      </c>
    </row>
    <row r="19" spans="1:34" ht="12.75" customHeight="1">
      <c r="A19" s="104" t="s">
        <v>20</v>
      </c>
      <c r="B19" s="138" t="s">
        <v>163</v>
      </c>
      <c r="C19" s="104" t="s">
        <v>48</v>
      </c>
      <c r="D19" s="105" t="s">
        <v>107</v>
      </c>
      <c r="E19" s="104">
        <v>605</v>
      </c>
      <c r="F19" s="104">
        <v>13</v>
      </c>
      <c r="G19" s="93" t="s">
        <v>6</v>
      </c>
      <c r="H19" s="106">
        <f t="shared" ca="1" si="0"/>
        <v>116926.88497905566</v>
      </c>
      <c r="I19" s="106">
        <f t="shared" ca="1" si="1"/>
        <v>122755.73393209356</v>
      </c>
      <c r="J19" s="106">
        <f t="shared" ca="1" si="2"/>
        <v>128892.42092531575</v>
      </c>
      <c r="K19" s="106">
        <f t="shared" ca="1" si="3"/>
        <v>135335.51416054368</v>
      </c>
      <c r="L19" s="106">
        <f t="shared" ca="1" si="4"/>
        <v>142085.01077418093</v>
      </c>
      <c r="M19" s="106">
        <f t="shared" ca="1" si="5"/>
        <v>149097.04323993486</v>
      </c>
      <c r="N19" s="106"/>
      <c r="O19" s="157" t="s">
        <v>176</v>
      </c>
      <c r="P19" s="160" t="str">
        <f t="shared" si="6"/>
        <v>09790C</v>
      </c>
      <c r="Q19" s="152" t="str">
        <f t="shared" si="7"/>
        <v xml:space="preserve">Supt, Water Plant Operations </v>
      </c>
      <c r="R19" s="158" t="str">
        <f t="shared" si="8"/>
        <v>05</v>
      </c>
      <c r="S19" s="159" cm="1">
        <f t="array" aca="1" ref="S19" ca="1">IF($O19="Y",VLOOKUP($P19,INDIRECT($P$3),S$7,0)*INDIRECT($P$2),VLOOKUP($P19,INDIRECT($P$3),S$7,0))</f>
        <v>116926.88497905566</v>
      </c>
      <c r="T19" s="159" cm="1">
        <f t="array" aca="1" ref="T19" ca="1">IF($O19="Y",VLOOKUP($P19,INDIRECT($P$3),T$7,0)*INDIRECT($P$2),VLOOKUP($P19,INDIRECT($P$3),T$7,0))</f>
        <v>122755.73393209356</v>
      </c>
      <c r="U19" s="159" cm="1">
        <f t="array" aca="1" ref="U19" ca="1">IF($O19="Y",VLOOKUP($P19,INDIRECT($P$3),U$7,0)*INDIRECT($P$2),VLOOKUP($P19,INDIRECT($P$3),U$7,0))</f>
        <v>128892.42092531575</v>
      </c>
      <c r="V19" s="159" cm="1">
        <f t="array" aca="1" ref="V19" ca="1">IF($O19="Y",VLOOKUP($P19,INDIRECT($P$3),V$7,0)*INDIRECT($P$2),VLOOKUP($P19,INDIRECT($P$3),V$7,0))</f>
        <v>135335.51416054368</v>
      </c>
      <c r="W19" s="159" cm="1">
        <f t="array" aca="1" ref="W19" ca="1">IF($O19="Y",VLOOKUP($P19,INDIRECT($P$3),W$7,0)*INDIRECT($P$2),VLOOKUP($P19,INDIRECT($P$3),W$7,0))</f>
        <v>142085.01077418093</v>
      </c>
      <c r="X19" s="159" cm="1">
        <f t="array" aca="1" ref="X19" ca="1">IF($O19="Y",VLOOKUP($P19,INDIRECT($P$3),X$7,0)*INDIRECT($P$2),VLOOKUP($P19,INDIRECT($P$3),X$7,0))</f>
        <v>149097.04323993486</v>
      </c>
      <c r="Y19" s="167" t="str">
        <f t="shared" si="9"/>
        <v>Y</v>
      </c>
      <c r="Z19" s="167" t="str">
        <f t="shared" si="10"/>
        <v>09790C</v>
      </c>
      <c r="AA19" s="168" t="str">
        <f t="shared" si="11"/>
        <v xml:space="preserve">Supt, Water Plant Operations </v>
      </c>
      <c r="AB19" s="167" t="str">
        <f t="shared" si="12"/>
        <v>05</v>
      </c>
      <c r="AC19" s="169">
        <f t="shared" ca="1" si="13"/>
        <v>56.215000000000003</v>
      </c>
      <c r="AD19" s="169">
        <f t="shared" ca="1" si="14"/>
        <v>59.017000000000003</v>
      </c>
      <c r="AE19" s="169">
        <f t="shared" ca="1" si="15"/>
        <v>61.968000000000004</v>
      </c>
      <c r="AF19" s="169">
        <f t="shared" ca="1" si="16"/>
        <v>65.064999999999998</v>
      </c>
      <c r="AG19" s="169">
        <f t="shared" ca="1" si="17"/>
        <v>68.31</v>
      </c>
      <c r="AH19" s="169">
        <f t="shared" ca="1" si="18"/>
        <v>71.680999999999997</v>
      </c>
    </row>
    <row r="20" spans="1:34" ht="12.75" customHeight="1">
      <c r="A20" s="104" t="s">
        <v>127</v>
      </c>
      <c r="B20" s="139" t="s">
        <v>163</v>
      </c>
      <c r="C20" s="104" t="s">
        <v>48</v>
      </c>
      <c r="D20" s="105" t="s">
        <v>125</v>
      </c>
      <c r="E20" s="104">
        <v>600</v>
      </c>
      <c r="F20" s="104">
        <v>13</v>
      </c>
      <c r="G20" s="93" t="s">
        <v>6</v>
      </c>
      <c r="H20" s="106">
        <f t="shared" ca="1" si="0"/>
        <v>116926.88497905566</v>
      </c>
      <c r="I20" s="106">
        <f t="shared" ca="1" si="1"/>
        <v>122755.73393209356</v>
      </c>
      <c r="J20" s="106">
        <f t="shared" ca="1" si="2"/>
        <v>128892.42092531575</v>
      </c>
      <c r="K20" s="106">
        <f t="shared" ca="1" si="3"/>
        <v>135335.51416054368</v>
      </c>
      <c r="L20" s="106">
        <f t="shared" ca="1" si="4"/>
        <v>142085.01077418093</v>
      </c>
      <c r="M20" s="106">
        <f t="shared" ca="1" si="5"/>
        <v>149097.04323993486</v>
      </c>
      <c r="N20" s="106"/>
      <c r="O20" s="157" t="s">
        <v>176</v>
      </c>
      <c r="P20" s="160" t="str">
        <f t="shared" si="6"/>
        <v>10625C</v>
      </c>
      <c r="Q20" s="152" t="str">
        <f t="shared" si="7"/>
        <v>Traffic Operations Engineer</v>
      </c>
      <c r="R20" s="158" t="str">
        <f t="shared" si="8"/>
        <v>05</v>
      </c>
      <c r="S20" s="159" cm="1">
        <f t="array" aca="1" ref="S20" ca="1">IF($O20="Y",VLOOKUP($P20,INDIRECT($P$3),S$7,0)*INDIRECT($P$2),VLOOKUP($P20,INDIRECT($P$3),S$7,0))</f>
        <v>116926.88497905566</v>
      </c>
      <c r="T20" s="159" cm="1">
        <f t="array" aca="1" ref="T20" ca="1">IF($O20="Y",VLOOKUP($P20,INDIRECT($P$3),T$7,0)*INDIRECT($P$2),VLOOKUP($P20,INDIRECT($P$3),T$7,0))</f>
        <v>122755.73393209356</v>
      </c>
      <c r="U20" s="159" cm="1">
        <f t="array" aca="1" ref="U20" ca="1">IF($O20="Y",VLOOKUP($P20,INDIRECT($P$3),U$7,0)*INDIRECT($P$2),VLOOKUP($P20,INDIRECT($P$3),U$7,0))</f>
        <v>128892.42092531575</v>
      </c>
      <c r="V20" s="159" cm="1">
        <f t="array" aca="1" ref="V20" ca="1">IF($O20="Y",VLOOKUP($P20,INDIRECT($P$3),V$7,0)*INDIRECT($P$2),VLOOKUP($P20,INDIRECT($P$3),V$7,0))</f>
        <v>135335.51416054368</v>
      </c>
      <c r="W20" s="159" cm="1">
        <f t="array" aca="1" ref="W20" ca="1">IF($O20="Y",VLOOKUP($P20,INDIRECT($P$3),W$7,0)*INDIRECT($P$2),VLOOKUP($P20,INDIRECT($P$3),W$7,0))</f>
        <v>142085.01077418093</v>
      </c>
      <c r="X20" s="159" cm="1">
        <f t="array" aca="1" ref="X20" ca="1">IF($O20="Y",VLOOKUP($P20,INDIRECT($P$3),X$7,0)*INDIRECT($P$2),VLOOKUP($P20,INDIRECT($P$3),X$7,0))</f>
        <v>149097.04323993486</v>
      </c>
      <c r="Y20" s="167" t="str">
        <f t="shared" si="9"/>
        <v>Y</v>
      </c>
      <c r="Z20" s="167" t="str">
        <f t="shared" si="10"/>
        <v>10625C</v>
      </c>
      <c r="AA20" s="168" t="str">
        <f t="shared" si="11"/>
        <v>Traffic Operations Engineer</v>
      </c>
      <c r="AB20" s="167" t="str">
        <f t="shared" si="12"/>
        <v>05</v>
      </c>
      <c r="AC20" s="169">
        <f t="shared" ca="1" si="13"/>
        <v>56.215000000000003</v>
      </c>
      <c r="AD20" s="169">
        <f t="shared" ca="1" si="14"/>
        <v>59.017000000000003</v>
      </c>
      <c r="AE20" s="169">
        <f t="shared" ca="1" si="15"/>
        <v>61.968000000000004</v>
      </c>
      <c r="AF20" s="169">
        <f t="shared" ca="1" si="16"/>
        <v>65.064999999999998</v>
      </c>
      <c r="AG20" s="169">
        <f t="shared" ca="1" si="17"/>
        <v>68.31</v>
      </c>
      <c r="AH20" s="169">
        <f t="shared" ca="1" si="18"/>
        <v>71.680999999999997</v>
      </c>
    </row>
    <row r="21" spans="1:34" s="125" customFormat="1">
      <c r="A21" s="93"/>
      <c r="B21" s="93"/>
      <c r="C21" s="93"/>
      <c r="D21" s="93"/>
      <c r="E21" s="93"/>
      <c r="F21" s="93"/>
      <c r="G21" s="93"/>
      <c r="H21" s="93"/>
      <c r="I21" s="93"/>
      <c r="J21" s="93"/>
      <c r="K21" s="93"/>
      <c r="L21" s="93"/>
      <c r="M21" s="93"/>
      <c r="N21" s="93"/>
      <c r="O21" s="152"/>
      <c r="P21" s="160"/>
      <c r="Q21" s="152"/>
      <c r="R21" s="152"/>
      <c r="S21" s="152"/>
      <c r="T21" s="152"/>
      <c r="U21" s="154"/>
      <c r="V21" s="154"/>
      <c r="W21" s="152"/>
      <c r="X21" s="152"/>
      <c r="Y21" s="170"/>
      <c r="Z21" s="170"/>
      <c r="AA21" s="171"/>
      <c r="AB21" s="170"/>
      <c r="AC21" s="170"/>
      <c r="AD21" s="170"/>
      <c r="AE21" s="170"/>
      <c r="AF21" s="170"/>
      <c r="AG21" s="170"/>
      <c r="AH21" s="170"/>
    </row>
    <row r="22" spans="1:34" s="125" customFormat="1">
      <c r="A22" s="115" t="s">
        <v>68</v>
      </c>
      <c r="B22" s="112"/>
      <c r="C22" s="93"/>
      <c r="D22" s="93"/>
      <c r="E22" s="93"/>
      <c r="F22" s="93"/>
      <c r="G22" s="93"/>
      <c r="H22" s="93"/>
      <c r="I22" s="93"/>
      <c r="J22" s="93"/>
      <c r="K22" s="93"/>
      <c r="L22" s="93"/>
      <c r="M22" s="93"/>
      <c r="N22" s="93"/>
      <c r="O22" s="152"/>
      <c r="P22" s="160"/>
      <c r="Q22" s="152"/>
      <c r="R22" s="152"/>
      <c r="S22" s="152"/>
      <c r="T22" s="152"/>
      <c r="U22" s="154"/>
      <c r="V22" s="154"/>
      <c r="W22" s="152"/>
      <c r="X22" s="152"/>
      <c r="Y22" s="170"/>
      <c r="Z22" s="170"/>
      <c r="AA22" s="171"/>
      <c r="AB22" s="170"/>
      <c r="AC22" s="170"/>
      <c r="AD22" s="170"/>
      <c r="AE22" s="170"/>
      <c r="AF22" s="170"/>
      <c r="AG22" s="170"/>
      <c r="AH22" s="170"/>
    </row>
    <row r="23" spans="1:34" s="125" customFormat="1">
      <c r="A23" s="116">
        <f>S23</f>
        <v>43</v>
      </c>
      <c r="B23" s="112"/>
      <c r="C23" s="93" t="s">
        <v>183</v>
      </c>
      <c r="D23" s="93"/>
      <c r="E23" s="93"/>
      <c r="F23" s="93"/>
      <c r="G23" s="93"/>
      <c r="H23" s="93"/>
      <c r="I23" s="93"/>
      <c r="J23" s="93"/>
      <c r="K23" s="93"/>
      <c r="L23" s="93"/>
      <c r="M23" s="93"/>
      <c r="N23" s="93"/>
      <c r="O23" s="160" t="s">
        <v>184</v>
      </c>
      <c r="P23" s="160" t="s">
        <v>167</v>
      </c>
      <c r="Q23" s="154"/>
      <c r="R23" s="154"/>
      <c r="S23" s="159">
        <v>43</v>
      </c>
      <c r="T23" s="152"/>
      <c r="U23" s="154"/>
      <c r="V23" s="154"/>
      <c r="W23" s="152"/>
      <c r="X23" s="152"/>
      <c r="Y23" s="167" t="s">
        <v>176</v>
      </c>
      <c r="Z23" s="167" t="str">
        <f t="shared" ref="Z23:Z24" si="19">P23</f>
        <v>CENCDY</v>
      </c>
      <c r="AA23" s="168"/>
      <c r="AB23" s="167"/>
      <c r="AC23" s="169">
        <f t="shared" ref="AC23:AC24" si="20">ROUND(S23/2080,3)</f>
        <v>2.1000000000000001E-2</v>
      </c>
      <c r="AD23" s="170"/>
      <c r="AE23" s="170"/>
      <c r="AF23" s="170"/>
      <c r="AG23" s="170"/>
      <c r="AH23" s="170"/>
    </row>
    <row r="24" spans="1:34" s="125" customFormat="1">
      <c r="A24" s="116">
        <f>S24</f>
        <v>53</v>
      </c>
      <c r="B24" s="112"/>
      <c r="C24" s="93" t="s">
        <v>182</v>
      </c>
      <c r="D24" s="93"/>
      <c r="E24" s="93"/>
      <c r="F24" s="93"/>
      <c r="G24" s="93"/>
      <c r="H24" s="93"/>
      <c r="I24" s="93"/>
      <c r="J24" s="93"/>
      <c r="K24" s="93"/>
      <c r="L24" s="93"/>
      <c r="M24" s="93"/>
      <c r="N24" s="93"/>
      <c r="O24" s="160" t="s">
        <v>184</v>
      </c>
      <c r="P24" s="160" t="s">
        <v>168</v>
      </c>
      <c r="Q24" s="154"/>
      <c r="R24" s="154"/>
      <c r="S24" s="159">
        <v>53</v>
      </c>
      <c r="T24" s="152"/>
      <c r="U24" s="154"/>
      <c r="V24" s="154"/>
      <c r="W24" s="152"/>
      <c r="X24" s="152"/>
      <c r="Y24" s="167" t="s">
        <v>176</v>
      </c>
      <c r="Z24" s="167" t="str">
        <f t="shared" si="19"/>
        <v>CENCWE</v>
      </c>
      <c r="AA24" s="168"/>
      <c r="AB24" s="167"/>
      <c r="AC24" s="169">
        <f t="shared" si="20"/>
        <v>2.5000000000000001E-2</v>
      </c>
      <c r="AD24" s="170"/>
      <c r="AE24" s="170"/>
      <c r="AF24" s="170"/>
      <c r="AG24" s="170"/>
      <c r="AH24" s="170"/>
    </row>
    <row r="25" spans="1:34">
      <c r="O25" s="160"/>
    </row>
    <row r="26" spans="1:34" s="125" customFormat="1">
      <c r="A26" s="94" t="s">
        <v>70</v>
      </c>
      <c r="B26" s="150"/>
      <c r="C26" s="94"/>
      <c r="D26" s="150"/>
      <c r="E26" s="150"/>
      <c r="F26" s="150"/>
      <c r="G26" s="150"/>
      <c r="H26" s="93"/>
      <c r="I26" s="93"/>
      <c r="J26" s="93"/>
      <c r="K26" s="93"/>
      <c r="L26" s="93"/>
      <c r="M26" s="93"/>
      <c r="N26" s="93"/>
      <c r="O26" s="160"/>
      <c r="P26" s="160"/>
      <c r="Q26" s="152"/>
      <c r="R26" s="152"/>
      <c r="S26" s="152"/>
      <c r="T26" s="152"/>
      <c r="U26" s="154"/>
      <c r="V26" s="154"/>
      <c r="W26" s="152"/>
      <c r="X26" s="152"/>
      <c r="Y26" s="170"/>
      <c r="Z26" s="170"/>
      <c r="AA26" s="171"/>
      <c r="AB26" s="170"/>
      <c r="AC26" s="170"/>
      <c r="AD26" s="170"/>
      <c r="AE26" s="170"/>
      <c r="AF26" s="170"/>
      <c r="AG26" s="170"/>
      <c r="AH26" s="170"/>
    </row>
    <row r="27" spans="1:34" s="125" customFormat="1">
      <c r="A27" s="118" t="s">
        <v>133</v>
      </c>
      <c r="B27" s="150"/>
      <c r="C27" s="94"/>
      <c r="D27" s="150"/>
      <c r="E27" s="150"/>
      <c r="F27" s="150"/>
      <c r="G27" s="150"/>
      <c r="H27" s="93"/>
      <c r="I27" s="93"/>
      <c r="J27" s="93"/>
      <c r="K27" s="93"/>
      <c r="L27" s="93"/>
      <c r="M27" s="93"/>
      <c r="N27" s="93"/>
      <c r="O27" s="160"/>
      <c r="P27" s="160"/>
      <c r="Q27" s="152"/>
      <c r="R27" s="152"/>
      <c r="S27" s="152"/>
      <c r="T27" s="152"/>
      <c r="U27" s="154"/>
      <c r="V27" s="154"/>
      <c r="W27" s="152"/>
      <c r="X27" s="152"/>
      <c r="Y27" s="170"/>
      <c r="Z27" s="170"/>
      <c r="AA27" s="171"/>
      <c r="AB27" s="170"/>
      <c r="AC27" s="170"/>
      <c r="AD27" s="170"/>
      <c r="AE27" s="170"/>
      <c r="AF27" s="170"/>
      <c r="AG27" s="170"/>
      <c r="AH27" s="170"/>
    </row>
    <row r="28" spans="1:34" s="125" customFormat="1">
      <c r="A28" s="128">
        <f ca="1">S28</f>
        <v>881.99958488938921</v>
      </c>
      <c r="B28" s="112"/>
      <c r="C28" s="119" t="s">
        <v>24</v>
      </c>
      <c r="D28" s="150"/>
      <c r="E28" s="150"/>
      <c r="F28" s="150"/>
      <c r="G28" s="150"/>
      <c r="H28" s="93"/>
      <c r="I28" s="93"/>
      <c r="J28" s="93"/>
      <c r="K28" s="93"/>
      <c r="L28" s="93"/>
      <c r="M28" s="93"/>
      <c r="N28" s="93"/>
      <c r="O28" s="160" t="s">
        <v>176</v>
      </c>
      <c r="P28" s="160" t="s">
        <v>178</v>
      </c>
      <c r="Q28" s="159"/>
      <c r="R28" s="159"/>
      <c r="S28" s="159" cm="1">
        <f t="array" aca="1" ref="S28" ca="1">IF($O28="Y",VLOOKUP($P28,INDIRECT($P$3),S$7,0)*INDIRECT($P$2),VLOOKUP($P28,INDIRECT($P$3),S$7,0))</f>
        <v>881.99958488938921</v>
      </c>
      <c r="T28" s="152"/>
      <c r="U28" s="154"/>
      <c r="V28" s="154"/>
      <c r="W28" s="152"/>
      <c r="X28" s="152"/>
      <c r="Y28" s="167" t="str">
        <f t="shared" ref="Y28:Z31" si="21">O28</f>
        <v>Y</v>
      </c>
      <c r="Z28" s="167" t="str">
        <f t="shared" si="21"/>
        <v>Long10</v>
      </c>
      <c r="AA28" s="168"/>
      <c r="AB28" s="167"/>
      <c r="AC28" s="169">
        <f t="shared" ref="AC28:AC31" ca="1" si="22">ROUND(S28/2080,3)</f>
        <v>0.42399999999999999</v>
      </c>
      <c r="AD28" s="170"/>
      <c r="AE28" s="170"/>
      <c r="AF28" s="170"/>
      <c r="AG28" s="170"/>
      <c r="AH28" s="170"/>
    </row>
    <row r="29" spans="1:34" s="125" customFormat="1">
      <c r="A29" s="128">
        <f ca="1">S29</f>
        <v>1207.2702854660376</v>
      </c>
      <c r="B29" s="112"/>
      <c r="C29" s="119" t="s">
        <v>25</v>
      </c>
      <c r="D29" s="150"/>
      <c r="E29" s="150"/>
      <c r="F29" s="150"/>
      <c r="G29" s="150"/>
      <c r="H29" s="93"/>
      <c r="I29" s="93"/>
      <c r="J29" s="93"/>
      <c r="K29" s="93"/>
      <c r="L29" s="93"/>
      <c r="M29" s="93"/>
      <c r="N29" s="93"/>
      <c r="O29" s="160" t="s">
        <v>176</v>
      </c>
      <c r="P29" s="160" t="s">
        <v>179</v>
      </c>
      <c r="Q29" s="159"/>
      <c r="R29" s="159"/>
      <c r="S29" s="159" cm="1">
        <f t="array" aca="1" ref="S29" ca="1">IF($O29="Y",VLOOKUP($P29,INDIRECT($P$3),S$7,0)*INDIRECT($P$2),VLOOKUP($P29,INDIRECT($P$3),S$7,0))</f>
        <v>1207.2702854660376</v>
      </c>
      <c r="T29" s="152"/>
      <c r="U29" s="154"/>
      <c r="V29" s="154"/>
      <c r="W29" s="152"/>
      <c r="X29" s="152"/>
      <c r="Y29" s="167" t="str">
        <f t="shared" si="21"/>
        <v>Y</v>
      </c>
      <c r="Z29" s="167" t="str">
        <f t="shared" si="21"/>
        <v>Long15</v>
      </c>
      <c r="AA29" s="168"/>
      <c r="AB29" s="167"/>
      <c r="AC29" s="169">
        <f t="shared" ca="1" si="22"/>
        <v>0.57999999999999996</v>
      </c>
      <c r="AD29" s="170"/>
      <c r="AE29" s="170"/>
      <c r="AF29" s="170"/>
      <c r="AG29" s="170"/>
      <c r="AH29" s="170"/>
    </row>
    <row r="30" spans="1:34" s="125" customFormat="1">
      <c r="A30" s="128">
        <f ca="1">S30</f>
        <v>1426.3744629400351</v>
      </c>
      <c r="B30" s="112"/>
      <c r="C30" s="119" t="s">
        <v>26</v>
      </c>
      <c r="D30" s="150"/>
      <c r="E30" s="150"/>
      <c r="F30" s="150"/>
      <c r="G30" s="150"/>
      <c r="H30" s="93"/>
      <c r="I30" s="93"/>
      <c r="J30" s="93"/>
      <c r="K30" s="93"/>
      <c r="L30" s="93"/>
      <c r="M30" s="93"/>
      <c r="N30" s="93"/>
      <c r="O30" s="160" t="s">
        <v>176</v>
      </c>
      <c r="P30" s="160" t="s">
        <v>180</v>
      </c>
      <c r="Q30" s="159"/>
      <c r="R30" s="159"/>
      <c r="S30" s="159" cm="1">
        <f t="array" aca="1" ref="S30" ca="1">IF($O30="Y",VLOOKUP($P30,INDIRECT($P$3),S$7,0)*INDIRECT($P$2),VLOOKUP($P30,INDIRECT($P$3),S$7,0))</f>
        <v>1426.3744629400351</v>
      </c>
      <c r="T30" s="152"/>
      <c r="U30" s="154"/>
      <c r="V30" s="154"/>
      <c r="W30" s="152"/>
      <c r="X30" s="152"/>
      <c r="Y30" s="167" t="str">
        <f t="shared" si="21"/>
        <v>Y</v>
      </c>
      <c r="Z30" s="167" t="str">
        <f t="shared" si="21"/>
        <v>Long20</v>
      </c>
      <c r="AA30" s="168"/>
      <c r="AB30" s="167"/>
      <c r="AC30" s="169">
        <f t="shared" ca="1" si="22"/>
        <v>0.68600000000000005</v>
      </c>
      <c r="AD30" s="170"/>
      <c r="AE30" s="170"/>
      <c r="AF30" s="170"/>
      <c r="AG30" s="170"/>
      <c r="AH30" s="170"/>
    </row>
    <row r="31" spans="1:34" s="125" customFormat="1">
      <c r="A31" s="128">
        <f ca="1">S31</f>
        <v>1679.6109133882464</v>
      </c>
      <c r="B31" s="112"/>
      <c r="C31" s="119" t="s">
        <v>27</v>
      </c>
      <c r="D31" s="105"/>
      <c r="E31" s="104"/>
      <c r="F31" s="104"/>
      <c r="G31" s="93"/>
      <c r="H31" s="93"/>
      <c r="I31" s="93"/>
      <c r="J31" s="93"/>
      <c r="K31" s="93"/>
      <c r="L31" s="93"/>
      <c r="M31" s="93"/>
      <c r="N31" s="93"/>
      <c r="O31" s="160" t="s">
        <v>176</v>
      </c>
      <c r="P31" s="160" t="s">
        <v>181</v>
      </c>
      <c r="Q31" s="159"/>
      <c r="R31" s="159"/>
      <c r="S31" s="159" cm="1">
        <f t="array" aca="1" ref="S31" ca="1">IF($O31="Y",VLOOKUP($P31,INDIRECT($P$3),S$7,0)*INDIRECT($P$2),VLOOKUP($P31,INDIRECT($P$3),S$7,0))</f>
        <v>1679.6109133882464</v>
      </c>
      <c r="T31" s="152"/>
      <c r="U31" s="154"/>
      <c r="V31" s="154"/>
      <c r="W31" s="152"/>
      <c r="X31" s="152"/>
      <c r="Y31" s="167" t="str">
        <f t="shared" si="21"/>
        <v>Y</v>
      </c>
      <c r="Z31" s="167" t="str">
        <f t="shared" si="21"/>
        <v>Long25</v>
      </c>
      <c r="AA31" s="168"/>
      <c r="AB31" s="167"/>
      <c r="AC31" s="169">
        <f t="shared" ca="1" si="22"/>
        <v>0.80800000000000005</v>
      </c>
      <c r="AD31" s="170"/>
      <c r="AE31" s="170"/>
      <c r="AF31" s="170"/>
      <c r="AG31" s="170"/>
      <c r="AH31" s="170"/>
    </row>
    <row r="32" spans="1:34" s="125" customFormat="1">
      <c r="A32" s="104"/>
      <c r="B32" s="104"/>
      <c r="C32" s="104"/>
      <c r="D32" s="105"/>
      <c r="E32" s="104"/>
      <c r="F32" s="104"/>
      <c r="G32" s="93"/>
      <c r="H32" s="93"/>
      <c r="I32" s="93"/>
      <c r="J32" s="93"/>
      <c r="K32" s="93"/>
      <c r="L32" s="93"/>
      <c r="M32" s="93"/>
      <c r="N32" s="93"/>
      <c r="O32" s="152"/>
      <c r="P32" s="160"/>
      <c r="Q32" s="152"/>
      <c r="R32" s="152"/>
      <c r="S32" s="152"/>
      <c r="T32" s="152"/>
      <c r="U32" s="154"/>
      <c r="V32" s="154"/>
      <c r="W32" s="152"/>
      <c r="X32" s="152"/>
      <c r="Y32" s="170"/>
      <c r="Z32" s="170"/>
      <c r="AA32" s="171"/>
      <c r="AB32" s="170"/>
      <c r="AC32" s="170"/>
      <c r="AD32" s="170"/>
      <c r="AE32" s="170"/>
      <c r="AF32" s="170"/>
      <c r="AG32" s="170"/>
      <c r="AH32" s="170"/>
    </row>
    <row r="33" spans="1:34" s="125" customFormat="1">
      <c r="A33" s="93" t="s">
        <v>185</v>
      </c>
      <c r="B33" s="112"/>
      <c r="C33" s="93"/>
      <c r="D33" s="93"/>
      <c r="E33" s="93"/>
      <c r="F33" s="93"/>
      <c r="G33" s="93"/>
      <c r="H33" s="93"/>
      <c r="I33" s="93"/>
      <c r="J33" s="93"/>
      <c r="K33" s="93"/>
      <c r="L33" s="93"/>
      <c r="M33" s="93"/>
      <c r="N33" s="93"/>
      <c r="O33" s="152"/>
      <c r="P33" s="160"/>
      <c r="Q33" s="152"/>
      <c r="R33" s="152"/>
      <c r="S33" s="152"/>
      <c r="T33" s="152"/>
      <c r="U33" s="154"/>
      <c r="V33" s="154"/>
      <c r="W33" s="152"/>
      <c r="X33" s="152"/>
      <c r="Y33" s="170"/>
      <c r="Z33" s="170"/>
      <c r="AA33" s="171"/>
      <c r="AB33" s="170"/>
      <c r="AC33" s="170"/>
      <c r="AD33" s="170"/>
      <c r="AE33" s="170"/>
      <c r="AF33" s="170"/>
      <c r="AG33" s="170"/>
      <c r="AH33" s="170"/>
    </row>
    <row r="40" spans="1:34">
      <c r="A40" s="93" t="s">
        <v>200</v>
      </c>
      <c r="M40" s="93" t="s">
        <v>201</v>
      </c>
    </row>
  </sheetData>
  <sortState xmlns:xlrd2="http://schemas.microsoft.com/office/spreadsheetml/2017/richdata2" ref="A10:AH20">
    <sortCondition ref="D10:D20"/>
  </sortState>
  <mergeCells count="3">
    <mergeCell ref="A2:L2"/>
    <mergeCell ref="H3:I3"/>
    <mergeCell ref="A5:C5"/>
  </mergeCells>
  <pageMargins left="0.25" right="0.25" top="1" bottom="0.5" header="0.5" footer="0.5"/>
  <pageSetup scale="96"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A1:AH41"/>
  <sheetViews>
    <sheetView showGridLines="0" zoomScaleNormal="100" workbookViewId="0">
      <selection activeCell="I23" sqref="I23:I26"/>
    </sheetView>
  </sheetViews>
  <sheetFormatPr defaultColWidth="9.265625" defaultRowHeight="13.15"/>
  <cols>
    <col min="1" max="1" width="10" style="93" customWidth="1"/>
    <col min="2" max="2" width="8.265625" style="112" bestFit="1" customWidth="1"/>
    <col min="3" max="3" width="9" style="93" customWidth="1"/>
    <col min="4" max="4" width="30.265625" style="93" bestFit="1" customWidth="1"/>
    <col min="5" max="6" width="5.73046875" style="93" bestFit="1" customWidth="1"/>
    <col min="7" max="7" width="4.73046875" style="93" bestFit="1" customWidth="1"/>
    <col min="8" max="8" width="11.73046875" style="93" customWidth="1"/>
    <col min="9" max="9" width="10.265625" style="93" customWidth="1"/>
    <col min="10" max="10" width="9.73046875" style="93" customWidth="1"/>
    <col min="11" max="12" width="10.59765625" style="93" customWidth="1"/>
    <col min="13" max="13" width="10" style="93" bestFit="1" customWidth="1"/>
    <col min="14" max="14" width="9.265625" style="93" customWidth="1"/>
    <col min="15" max="15" width="10.265625" style="152" customWidth="1"/>
    <col min="16" max="16" width="11.265625" style="160" customWidth="1"/>
    <col min="17" max="17" width="30.265625" style="152" customWidth="1"/>
    <col min="18" max="18" width="5.3984375" style="152" customWidth="1"/>
    <col min="19" max="20" width="8.3984375" style="152" bestFit="1" customWidth="1"/>
    <col min="21" max="22" width="8.3984375" style="154" bestFit="1" customWidth="1"/>
    <col min="23" max="24" width="8.3984375" style="152" bestFit="1" customWidth="1"/>
    <col min="25" max="25" width="10.3984375" style="162" customWidth="1"/>
    <col min="26" max="26" width="7.73046875" style="162" customWidth="1"/>
    <col min="27" max="27" width="30.265625" style="163" customWidth="1"/>
    <col min="28" max="28" width="8.265625" style="162" customWidth="1"/>
    <col min="29" max="34" width="7.3984375" style="162" bestFit="1" customWidth="1"/>
    <col min="35" max="16384" width="9.265625" style="93"/>
  </cols>
  <sheetData>
    <row r="1" spans="1:34" ht="23.25">
      <c r="A1" s="179" t="s">
        <v>199</v>
      </c>
    </row>
    <row r="2" spans="1:34" ht="21">
      <c r="A2" s="187" t="s">
        <v>0</v>
      </c>
      <c r="B2" s="187"/>
      <c r="C2" s="187"/>
      <c r="D2" s="187"/>
      <c r="E2" s="187"/>
      <c r="F2" s="187"/>
      <c r="G2" s="187"/>
      <c r="H2" s="187"/>
      <c r="I2" s="187"/>
      <c r="J2" s="187"/>
      <c r="K2" s="187"/>
      <c r="L2" s="187"/>
      <c r="P2" s="160" t="s">
        <v>191</v>
      </c>
      <c r="Q2" s="153">
        <v>1.0249999999999999</v>
      </c>
    </row>
    <row r="3" spans="1:34">
      <c r="A3" s="94"/>
      <c r="B3" s="95"/>
      <c r="C3" s="96"/>
      <c r="D3" s="95"/>
      <c r="E3" s="95"/>
      <c r="F3" s="150"/>
      <c r="G3" s="150"/>
      <c r="H3" s="188"/>
      <c r="I3" s="188"/>
      <c r="J3" s="150"/>
      <c r="K3" s="150"/>
      <c r="L3" s="150"/>
      <c r="P3" s="160" t="s">
        <v>192</v>
      </c>
    </row>
    <row r="4" spans="1:34">
      <c r="A4" s="94" t="s">
        <v>1</v>
      </c>
      <c r="B4" s="150"/>
      <c r="C4" s="94"/>
      <c r="D4" s="150"/>
      <c r="E4" s="150"/>
      <c r="F4" s="150"/>
      <c r="G4" s="150"/>
      <c r="H4" s="150"/>
      <c r="I4" s="150"/>
      <c r="J4" s="150"/>
      <c r="K4" s="150"/>
      <c r="L4" s="150"/>
    </row>
    <row r="5" spans="1:34">
      <c r="A5" s="189" t="s">
        <v>193</v>
      </c>
      <c r="B5" s="189"/>
      <c r="C5" s="189"/>
      <c r="D5" s="98"/>
      <c r="E5" s="98"/>
      <c r="F5" s="98"/>
      <c r="G5" s="98"/>
      <c r="H5" s="98"/>
      <c r="I5" s="150"/>
      <c r="J5" s="150"/>
      <c r="K5" s="150"/>
      <c r="L5" s="150"/>
    </row>
    <row r="6" spans="1:34">
      <c r="A6" s="151" t="str">
        <f>TEXT(Q2-1,"#.00%")&amp;" Increase"</f>
        <v>2.50% Increase</v>
      </c>
      <c r="C6" s="94"/>
      <c r="D6" s="150"/>
      <c r="E6" s="150"/>
      <c r="F6" s="150"/>
      <c r="G6" s="150"/>
      <c r="H6" s="150"/>
      <c r="I6" s="150"/>
      <c r="J6" s="150"/>
      <c r="K6" s="150"/>
      <c r="L6" s="150"/>
    </row>
    <row r="7" spans="1:34">
      <c r="A7" s="96" t="s">
        <v>205</v>
      </c>
      <c r="B7" s="94"/>
      <c r="C7" s="94"/>
      <c r="D7" s="150"/>
      <c r="E7" s="150"/>
      <c r="F7" s="150"/>
      <c r="G7" s="150"/>
      <c r="H7" s="150"/>
      <c r="I7" s="150"/>
      <c r="J7" s="150"/>
      <c r="K7" s="150"/>
      <c r="L7" s="150"/>
      <c r="S7" s="161">
        <v>4</v>
      </c>
      <c r="T7" s="161">
        <v>5</v>
      </c>
      <c r="U7" s="161">
        <v>6</v>
      </c>
      <c r="V7" s="161">
        <v>7</v>
      </c>
      <c r="W7" s="161">
        <v>8</v>
      </c>
      <c r="X7" s="161">
        <v>9</v>
      </c>
    </row>
    <row r="8" spans="1:34">
      <c r="A8" s="94"/>
      <c r="B8" s="94"/>
      <c r="C8" s="94"/>
      <c r="D8" s="150"/>
      <c r="E8" s="150"/>
      <c r="F8" s="150"/>
      <c r="G8" s="150"/>
      <c r="H8" s="150"/>
      <c r="I8" s="150"/>
      <c r="J8" s="150"/>
      <c r="K8" s="150"/>
      <c r="L8" s="150"/>
      <c r="M8" s="141">
        <v>34.525197001003797</v>
      </c>
      <c r="O8" s="174" t="s">
        <v>197</v>
      </c>
      <c r="Y8" s="175" t="s">
        <v>196</v>
      </c>
    </row>
    <row r="9" spans="1:34" ht="30.75" customHeight="1" thickBot="1">
      <c r="A9" s="126" t="s">
        <v>36</v>
      </c>
      <c r="B9" s="126" t="s">
        <v>37</v>
      </c>
      <c r="C9" s="126" t="s">
        <v>2</v>
      </c>
      <c r="D9" s="126" t="s">
        <v>38</v>
      </c>
      <c r="E9" s="126" t="s">
        <v>39</v>
      </c>
      <c r="F9" s="126" t="s">
        <v>40</v>
      </c>
      <c r="G9" s="127" t="s">
        <v>131</v>
      </c>
      <c r="H9" s="102" t="s">
        <v>41</v>
      </c>
      <c r="I9" s="102" t="s">
        <v>42</v>
      </c>
      <c r="J9" s="102" t="s">
        <v>43</v>
      </c>
      <c r="K9" s="102" t="s">
        <v>44</v>
      </c>
      <c r="L9" s="102" t="s">
        <v>45</v>
      </c>
      <c r="M9" s="102" t="s">
        <v>46</v>
      </c>
      <c r="N9" s="103"/>
      <c r="O9" s="156" t="s">
        <v>175</v>
      </c>
      <c r="P9" s="155" t="s">
        <v>36</v>
      </c>
      <c r="Q9" s="155" t="s">
        <v>38</v>
      </c>
      <c r="R9" s="155" t="s">
        <v>37</v>
      </c>
      <c r="S9" s="156" t="s">
        <v>41</v>
      </c>
      <c r="T9" s="156" t="s">
        <v>42</v>
      </c>
      <c r="U9" s="156" t="s">
        <v>43</v>
      </c>
      <c r="V9" s="156" t="s">
        <v>44</v>
      </c>
      <c r="W9" s="156" t="s">
        <v>45</v>
      </c>
      <c r="X9" s="156" t="s">
        <v>46</v>
      </c>
      <c r="Y9" s="164" t="s">
        <v>175</v>
      </c>
      <c r="Z9" s="165" t="s">
        <v>36</v>
      </c>
      <c r="AA9" s="166" t="s">
        <v>38</v>
      </c>
      <c r="AB9" s="165" t="s">
        <v>37</v>
      </c>
      <c r="AC9" s="164" t="s">
        <v>41</v>
      </c>
      <c r="AD9" s="164" t="s">
        <v>42</v>
      </c>
      <c r="AE9" s="164" t="s">
        <v>43</v>
      </c>
      <c r="AF9" s="164" t="s">
        <v>44</v>
      </c>
      <c r="AG9" s="164" t="s">
        <v>45</v>
      </c>
      <c r="AH9" s="164" t="s">
        <v>46</v>
      </c>
    </row>
    <row r="10" spans="1:34" ht="12.75" customHeight="1" thickTop="1">
      <c r="A10" s="104" t="s">
        <v>8</v>
      </c>
      <c r="B10" s="138" t="s">
        <v>159</v>
      </c>
      <c r="C10" s="104" t="s">
        <v>48</v>
      </c>
      <c r="D10" s="105" t="s">
        <v>99</v>
      </c>
      <c r="E10" s="104">
        <v>395</v>
      </c>
      <c r="F10" s="104">
        <v>8</v>
      </c>
      <c r="G10" s="93" t="s">
        <v>6</v>
      </c>
      <c r="H10" s="106">
        <f t="shared" ref="H10:H21" ca="1" si="0">S10</f>
        <v>77707.331174855863</v>
      </c>
      <c r="I10" s="106">
        <f t="shared" ref="I10:I21" ca="1" si="1">T10</f>
        <v>80811.141679128224</v>
      </c>
      <c r="J10" s="106">
        <f t="shared" ref="J10:J21" ca="1" si="2">U10</f>
        <v>84039.104603571468</v>
      </c>
      <c r="K10" s="106">
        <f t="shared" ref="K10:K21" ca="1" si="3">V10</f>
        <v>87396.186044992399</v>
      </c>
      <c r="L10" s="106">
        <f t="shared" ref="L10:L21" ca="1" si="4">W10</f>
        <v>90887.55074407022</v>
      </c>
      <c r="M10" s="106">
        <f t="shared" ref="M10:M21" ca="1" si="5">X10</f>
        <v>94518.570031111114</v>
      </c>
      <c r="N10" s="106"/>
      <c r="O10" s="157" t="s">
        <v>176</v>
      </c>
      <c r="P10" s="160" t="str">
        <f t="shared" ref="P10:P21" si="6">A10</f>
        <v>03960C</v>
      </c>
      <c r="Q10" s="152" t="str">
        <f t="shared" ref="Q10:Q21" si="7">D10</f>
        <v>Engineer</v>
      </c>
      <c r="R10" s="158" t="str">
        <f t="shared" ref="R10:R21" si="8">B10</f>
        <v>13</v>
      </c>
      <c r="S10" s="159" cm="1">
        <f t="array" aca="1" ref="S10" ca="1">IF($O10="Y",VLOOKUP($P10,INDIRECT($P$3),S$7,0)*INDIRECT($P$2),VLOOKUP($P10,INDIRECT($P$3),S$7,0))</f>
        <v>77707.331174855863</v>
      </c>
      <c r="T10" s="159" cm="1">
        <f t="array" aca="1" ref="T10" ca="1">IF($O10="Y",VLOOKUP($P10,INDIRECT($P$3),T$7,0)*INDIRECT($P$2),VLOOKUP($P10,INDIRECT($P$3),T$7,0))</f>
        <v>80811.141679128224</v>
      </c>
      <c r="U10" s="159" cm="1">
        <f t="array" aca="1" ref="U10" ca="1">IF($O10="Y",VLOOKUP($P10,INDIRECT($P$3),U$7,0)*INDIRECT($P$2),VLOOKUP($P10,INDIRECT($P$3),U$7,0))</f>
        <v>84039.104603571468</v>
      </c>
      <c r="V10" s="159" cm="1">
        <f t="array" aca="1" ref="V10" ca="1">IF($O10="Y",VLOOKUP($P10,INDIRECT($P$3),V$7,0)*INDIRECT($P$2),VLOOKUP($P10,INDIRECT($P$3),V$7,0))</f>
        <v>87396.186044992399</v>
      </c>
      <c r="W10" s="159" cm="1">
        <f t="array" aca="1" ref="W10" ca="1">IF($O10="Y",VLOOKUP($P10,INDIRECT($P$3),W$7,0)*INDIRECT($P$2),VLOOKUP($P10,INDIRECT($P$3),W$7,0))</f>
        <v>90887.55074407022</v>
      </c>
      <c r="X10" s="159" cm="1">
        <f t="array" aca="1" ref="X10" ca="1">IF($O10="Y",VLOOKUP($P10,INDIRECT($P$3),X$7,0)*INDIRECT($P$2),VLOOKUP($P10,INDIRECT($P$3),X$7,0))</f>
        <v>94518.570031111114</v>
      </c>
      <c r="Y10" s="167" t="str">
        <f t="shared" ref="Y10:Y21" si="9">O10</f>
        <v>Y</v>
      </c>
      <c r="Z10" s="167" t="str">
        <f t="shared" ref="Z10:Z21" si="10">P10</f>
        <v>03960C</v>
      </c>
      <c r="AA10" s="168" t="str">
        <f t="shared" ref="AA10:AA21" si="11">Q10</f>
        <v>Engineer</v>
      </c>
      <c r="AB10" s="167" t="str">
        <f t="shared" ref="AB10:AB21" si="12">R10</f>
        <v>13</v>
      </c>
      <c r="AC10" s="169">
        <f t="shared" ref="AC10:AC21" ca="1" si="13">ROUND(S10/2080,3)</f>
        <v>37.359000000000002</v>
      </c>
      <c r="AD10" s="169">
        <f t="shared" ref="AD10:AD21" ca="1" si="14">ROUND(T10/2080,3)</f>
        <v>38.851999999999997</v>
      </c>
      <c r="AE10" s="169">
        <f t="shared" ref="AE10:AE21" ca="1" si="15">ROUND(U10/2080,3)</f>
        <v>40.402999999999999</v>
      </c>
      <c r="AF10" s="169">
        <f t="shared" ref="AF10:AF21" ca="1" si="16">ROUND(V10/2080,3)</f>
        <v>42.017000000000003</v>
      </c>
      <c r="AG10" s="169">
        <f t="shared" ref="AG10:AG21" ca="1" si="17">ROUND(W10/2080,3)</f>
        <v>43.695999999999998</v>
      </c>
      <c r="AH10" s="169">
        <f t="shared" ref="AH10:AH21" ca="1" si="18">ROUND(X10/2080,3)</f>
        <v>45.442</v>
      </c>
    </row>
    <row r="11" spans="1:34" ht="12.75" customHeight="1">
      <c r="A11" s="104" t="s">
        <v>78</v>
      </c>
      <c r="B11" s="138" t="s">
        <v>160</v>
      </c>
      <c r="C11" s="104" t="s">
        <v>48</v>
      </c>
      <c r="D11" s="105" t="s">
        <v>92</v>
      </c>
      <c r="E11" s="104">
        <v>470</v>
      </c>
      <c r="F11" s="104">
        <v>10</v>
      </c>
      <c r="G11" s="93" t="s">
        <v>6</v>
      </c>
      <c r="H11" s="106">
        <f t="shared" ca="1" si="0"/>
        <v>94601.847891246696</v>
      </c>
      <c r="I11" s="106">
        <f t="shared" ca="1" si="1"/>
        <v>99331.272748729592</v>
      </c>
      <c r="J11" s="106">
        <f t="shared" ca="1" si="2"/>
        <v>104303.16010624789</v>
      </c>
      <c r="K11" s="106">
        <f t="shared" ca="1" si="3"/>
        <v>109514.51066841767</v>
      </c>
      <c r="L11" s="106">
        <f t="shared" ca="1" si="4"/>
        <v>114966.82408293095</v>
      </c>
      <c r="M11" s="106">
        <f t="shared" ca="1" si="5"/>
        <v>120639.38222497446</v>
      </c>
      <c r="N11" s="106"/>
      <c r="O11" s="157" t="s">
        <v>176</v>
      </c>
      <c r="P11" s="160" t="str">
        <f t="shared" si="6"/>
        <v>04106C</v>
      </c>
      <c r="Q11" s="152" t="str">
        <f t="shared" si="7"/>
        <v xml:space="preserve">Environmental Engineer </v>
      </c>
      <c r="R11" s="158" t="str">
        <f t="shared" si="8"/>
        <v>01</v>
      </c>
      <c r="S11" s="159" cm="1">
        <f t="array" aca="1" ref="S11" ca="1">IF($O11="Y",VLOOKUP($P11,INDIRECT($P$3),S$7,0)*INDIRECT($P$2),VLOOKUP($P11,INDIRECT($P$3),S$7,0))</f>
        <v>94601.847891246696</v>
      </c>
      <c r="T11" s="159" cm="1">
        <f t="array" aca="1" ref="T11" ca="1">IF($O11="Y",VLOOKUP($P11,INDIRECT($P$3),T$7,0)*INDIRECT($P$2),VLOOKUP($P11,INDIRECT($P$3),T$7,0))</f>
        <v>99331.272748729592</v>
      </c>
      <c r="U11" s="159" cm="1">
        <f t="array" aca="1" ref="U11" ca="1">IF($O11="Y",VLOOKUP($P11,INDIRECT($P$3),U$7,0)*INDIRECT($P$2),VLOOKUP($P11,INDIRECT($P$3),U$7,0))</f>
        <v>104303.16010624789</v>
      </c>
      <c r="V11" s="159" cm="1">
        <f t="array" aca="1" ref="V11" ca="1">IF($O11="Y",VLOOKUP($P11,INDIRECT($P$3),V$7,0)*INDIRECT($P$2),VLOOKUP($P11,INDIRECT($P$3),V$7,0))</f>
        <v>109514.51066841767</v>
      </c>
      <c r="W11" s="159" cm="1">
        <f t="array" aca="1" ref="W11" ca="1">IF($O11="Y",VLOOKUP($P11,INDIRECT($P$3),W$7,0)*INDIRECT($P$2),VLOOKUP($P11,INDIRECT($P$3),W$7,0))</f>
        <v>114966.82408293095</v>
      </c>
      <c r="X11" s="159" cm="1">
        <f t="array" aca="1" ref="X11" ca="1">IF($O11="Y",VLOOKUP($P11,INDIRECT($P$3),X$7,0)*INDIRECT($P$2),VLOOKUP($P11,INDIRECT($P$3),X$7,0))</f>
        <v>120639.38222497446</v>
      </c>
      <c r="Y11" s="167" t="str">
        <f t="shared" si="9"/>
        <v>Y</v>
      </c>
      <c r="Z11" s="167" t="str">
        <f t="shared" si="10"/>
        <v>04106C</v>
      </c>
      <c r="AA11" s="168" t="str">
        <f t="shared" si="11"/>
        <v xml:space="preserve">Environmental Engineer </v>
      </c>
      <c r="AB11" s="167" t="str">
        <f t="shared" si="12"/>
        <v>01</v>
      </c>
      <c r="AC11" s="169">
        <f t="shared" ca="1" si="13"/>
        <v>45.481999999999999</v>
      </c>
      <c r="AD11" s="169">
        <f t="shared" ca="1" si="14"/>
        <v>47.755000000000003</v>
      </c>
      <c r="AE11" s="169">
        <f t="shared" ca="1" si="15"/>
        <v>50.146000000000001</v>
      </c>
      <c r="AF11" s="169">
        <f t="shared" ca="1" si="16"/>
        <v>52.651000000000003</v>
      </c>
      <c r="AG11" s="169">
        <f t="shared" ca="1" si="17"/>
        <v>55.273000000000003</v>
      </c>
      <c r="AH11" s="169">
        <f t="shared" ca="1" si="18"/>
        <v>58</v>
      </c>
    </row>
    <row r="12" spans="1:34" ht="12.75" customHeight="1">
      <c r="A12" s="104" t="s">
        <v>13</v>
      </c>
      <c r="B12" s="138" t="s">
        <v>160</v>
      </c>
      <c r="C12" s="104" t="s">
        <v>48</v>
      </c>
      <c r="D12" s="105" t="s">
        <v>100</v>
      </c>
      <c r="E12" s="104">
        <v>470</v>
      </c>
      <c r="F12" s="104">
        <v>10</v>
      </c>
      <c r="G12" s="93" t="s">
        <v>6</v>
      </c>
      <c r="H12" s="106">
        <f t="shared" ca="1" si="0"/>
        <v>94601.847891246696</v>
      </c>
      <c r="I12" s="106">
        <f t="shared" ca="1" si="1"/>
        <v>99331.272748729592</v>
      </c>
      <c r="J12" s="106">
        <f t="shared" ca="1" si="2"/>
        <v>104303.16010624789</v>
      </c>
      <c r="K12" s="106">
        <f t="shared" ca="1" si="3"/>
        <v>109514.51066841767</v>
      </c>
      <c r="L12" s="106">
        <f t="shared" ca="1" si="4"/>
        <v>114966.82408293095</v>
      </c>
      <c r="M12" s="106">
        <f t="shared" ca="1" si="5"/>
        <v>120639.38222497446</v>
      </c>
      <c r="N12" s="106"/>
      <c r="O12" s="157" t="s">
        <v>176</v>
      </c>
      <c r="P12" s="160" t="str">
        <f t="shared" si="6"/>
        <v>07890C</v>
      </c>
      <c r="Q12" s="152" t="str">
        <f t="shared" si="7"/>
        <v>Plan Examiner II Engineer</v>
      </c>
      <c r="R12" s="158" t="str">
        <f t="shared" si="8"/>
        <v>01</v>
      </c>
      <c r="S12" s="159" cm="1">
        <f t="array" aca="1" ref="S12" ca="1">IF($O12="Y",VLOOKUP($P12,INDIRECT($P$3),S$7,0)*INDIRECT($P$2),VLOOKUP($P12,INDIRECT($P$3),S$7,0))</f>
        <v>94601.847891246696</v>
      </c>
      <c r="T12" s="159" cm="1">
        <f t="array" aca="1" ref="T12" ca="1">IF($O12="Y",VLOOKUP($P12,INDIRECT($P$3),T$7,0)*INDIRECT($P$2),VLOOKUP($P12,INDIRECT($P$3),T$7,0))</f>
        <v>99331.272748729592</v>
      </c>
      <c r="U12" s="159" cm="1">
        <f t="array" aca="1" ref="U12" ca="1">IF($O12="Y",VLOOKUP($P12,INDIRECT($P$3),U$7,0)*INDIRECT($P$2),VLOOKUP($P12,INDIRECT($P$3),U$7,0))</f>
        <v>104303.16010624789</v>
      </c>
      <c r="V12" s="159" cm="1">
        <f t="array" aca="1" ref="V12" ca="1">IF($O12="Y",VLOOKUP($P12,INDIRECT($P$3),V$7,0)*INDIRECT($P$2),VLOOKUP($P12,INDIRECT($P$3),V$7,0))</f>
        <v>109514.51066841767</v>
      </c>
      <c r="W12" s="159" cm="1">
        <f t="array" aca="1" ref="W12" ca="1">IF($O12="Y",VLOOKUP($P12,INDIRECT($P$3),W$7,0)*INDIRECT($P$2),VLOOKUP($P12,INDIRECT($P$3),W$7,0))</f>
        <v>114966.82408293095</v>
      </c>
      <c r="X12" s="159" cm="1">
        <f t="array" aca="1" ref="X12" ca="1">IF($O12="Y",VLOOKUP($P12,INDIRECT($P$3),X$7,0)*INDIRECT($P$2),VLOOKUP($P12,INDIRECT($P$3),X$7,0))</f>
        <v>120639.38222497446</v>
      </c>
      <c r="Y12" s="167" t="str">
        <f t="shared" si="9"/>
        <v>Y</v>
      </c>
      <c r="Z12" s="167" t="str">
        <f t="shared" si="10"/>
        <v>07890C</v>
      </c>
      <c r="AA12" s="168" t="str">
        <f t="shared" si="11"/>
        <v>Plan Examiner II Engineer</v>
      </c>
      <c r="AB12" s="167" t="str">
        <f t="shared" si="12"/>
        <v>01</v>
      </c>
      <c r="AC12" s="169">
        <f t="shared" ca="1" si="13"/>
        <v>45.481999999999999</v>
      </c>
      <c r="AD12" s="169">
        <f t="shared" ca="1" si="14"/>
        <v>47.755000000000003</v>
      </c>
      <c r="AE12" s="169">
        <f t="shared" ca="1" si="15"/>
        <v>50.146000000000001</v>
      </c>
      <c r="AF12" s="169">
        <f t="shared" ca="1" si="16"/>
        <v>52.651000000000003</v>
      </c>
      <c r="AG12" s="169">
        <f t="shared" ca="1" si="17"/>
        <v>55.273000000000003</v>
      </c>
      <c r="AH12" s="169">
        <f t="shared" ca="1" si="18"/>
        <v>58</v>
      </c>
    </row>
    <row r="13" spans="1:34" ht="12.75" customHeight="1">
      <c r="A13" s="104" t="s">
        <v>9</v>
      </c>
      <c r="B13" s="138" t="s">
        <v>161</v>
      </c>
      <c r="C13" s="104" t="s">
        <v>48</v>
      </c>
      <c r="D13" s="105" t="s">
        <v>101</v>
      </c>
      <c r="E13" s="104">
        <v>578</v>
      </c>
      <c r="F13" s="104">
        <v>12</v>
      </c>
      <c r="G13" s="93" t="s">
        <v>6</v>
      </c>
      <c r="H13" s="106">
        <f t="shared" ca="1" si="0"/>
        <v>113559.95293547932</v>
      </c>
      <c r="I13" s="106">
        <f t="shared" ca="1" si="1"/>
        <v>119221.92724260651</v>
      </c>
      <c r="J13" s="106">
        <f t="shared" ca="1" si="2"/>
        <v>125196.4974194704</v>
      </c>
      <c r="K13" s="106">
        <f t="shared" ca="1" si="3"/>
        <v>131446.97657293204</v>
      </c>
      <c r="L13" s="106">
        <f t="shared" ca="1" si="4"/>
        <v>138010.05306372346</v>
      </c>
      <c r="M13" s="106">
        <f t="shared" ca="1" si="5"/>
        <v>144820.69256415725</v>
      </c>
      <c r="N13" s="106"/>
      <c r="O13" s="157" t="s">
        <v>176</v>
      </c>
      <c r="P13" s="160" t="str">
        <f t="shared" si="6"/>
        <v>04000C</v>
      </c>
      <c r="Q13" s="152" t="str">
        <f t="shared" si="7"/>
        <v>Principal Professional Engr</v>
      </c>
      <c r="R13" s="158" t="str">
        <f t="shared" si="8"/>
        <v>04</v>
      </c>
      <c r="S13" s="159" cm="1">
        <f t="array" aca="1" ref="S13" ca="1">IF($O13="Y",VLOOKUP($P13,INDIRECT($P$3),S$7,0)*INDIRECT($P$2),VLOOKUP($P13,INDIRECT($P$3),S$7,0))</f>
        <v>113559.95293547932</v>
      </c>
      <c r="T13" s="159" cm="1">
        <f t="array" aca="1" ref="T13" ca="1">IF($O13="Y",VLOOKUP($P13,INDIRECT($P$3),T$7,0)*INDIRECT($P$2),VLOOKUP($P13,INDIRECT($P$3),T$7,0))</f>
        <v>119221.92724260651</v>
      </c>
      <c r="U13" s="159" cm="1">
        <f t="array" aca="1" ref="U13" ca="1">IF($O13="Y",VLOOKUP($P13,INDIRECT($P$3),U$7,0)*INDIRECT($P$2),VLOOKUP($P13,INDIRECT($P$3),U$7,0))</f>
        <v>125196.4974194704</v>
      </c>
      <c r="V13" s="159" cm="1">
        <f t="array" aca="1" ref="V13" ca="1">IF($O13="Y",VLOOKUP($P13,INDIRECT($P$3),V$7,0)*INDIRECT($P$2),VLOOKUP($P13,INDIRECT($P$3),V$7,0))</f>
        <v>131446.97657293204</v>
      </c>
      <c r="W13" s="159" cm="1">
        <f t="array" aca="1" ref="W13" ca="1">IF($O13="Y",VLOOKUP($P13,INDIRECT($P$3),W$7,0)*INDIRECT($P$2),VLOOKUP($P13,INDIRECT($P$3),W$7,0))</f>
        <v>138010.05306372346</v>
      </c>
      <c r="X13" s="159" cm="1">
        <f t="array" aca="1" ref="X13" ca="1">IF($O13="Y",VLOOKUP($P13,INDIRECT($P$3),X$7,0)*INDIRECT($P$2),VLOOKUP($P13,INDIRECT($P$3),X$7,0))</f>
        <v>144820.69256415725</v>
      </c>
      <c r="Y13" s="167" t="str">
        <f t="shared" si="9"/>
        <v>Y</v>
      </c>
      <c r="Z13" s="167" t="str">
        <f t="shared" si="10"/>
        <v>04000C</v>
      </c>
      <c r="AA13" s="168" t="str">
        <f t="shared" si="11"/>
        <v>Principal Professional Engr</v>
      </c>
      <c r="AB13" s="167" t="str">
        <f t="shared" si="12"/>
        <v>04</v>
      </c>
      <c r="AC13" s="169">
        <f t="shared" ca="1" si="13"/>
        <v>54.595999999999997</v>
      </c>
      <c r="AD13" s="169">
        <f t="shared" ca="1" si="14"/>
        <v>57.317999999999998</v>
      </c>
      <c r="AE13" s="169">
        <f t="shared" ca="1" si="15"/>
        <v>60.191000000000003</v>
      </c>
      <c r="AF13" s="169">
        <f t="shared" ca="1" si="16"/>
        <v>63.195999999999998</v>
      </c>
      <c r="AG13" s="169">
        <f t="shared" ca="1" si="17"/>
        <v>66.350999999999999</v>
      </c>
      <c r="AH13" s="169">
        <f t="shared" ca="1" si="18"/>
        <v>69.625</v>
      </c>
    </row>
    <row r="14" spans="1:34" ht="12.75" customHeight="1">
      <c r="A14" s="104" t="s">
        <v>10</v>
      </c>
      <c r="B14" s="138" t="s">
        <v>160</v>
      </c>
      <c r="C14" s="104" t="s">
        <v>48</v>
      </c>
      <c r="D14" s="105" t="s">
        <v>102</v>
      </c>
      <c r="E14" s="104">
        <v>485</v>
      </c>
      <c r="F14" s="104">
        <v>10</v>
      </c>
      <c r="G14" s="93" t="s">
        <v>6</v>
      </c>
      <c r="H14" s="106">
        <f t="shared" ca="1" si="0"/>
        <v>94601.847891246696</v>
      </c>
      <c r="I14" s="106">
        <f t="shared" ca="1" si="1"/>
        <v>99331.272748729592</v>
      </c>
      <c r="J14" s="106">
        <f t="shared" ca="1" si="2"/>
        <v>104303.16010624789</v>
      </c>
      <c r="K14" s="106">
        <f t="shared" ca="1" si="3"/>
        <v>109514.51066841767</v>
      </c>
      <c r="L14" s="106">
        <f t="shared" ca="1" si="4"/>
        <v>114966.82408293095</v>
      </c>
      <c r="M14" s="106">
        <f t="shared" ca="1" si="5"/>
        <v>120639.38222497446</v>
      </c>
      <c r="N14" s="106"/>
      <c r="O14" s="157" t="s">
        <v>176</v>
      </c>
      <c r="P14" s="160" t="str">
        <f t="shared" si="6"/>
        <v>03980C</v>
      </c>
      <c r="Q14" s="152" t="str">
        <f t="shared" si="7"/>
        <v>Professional Engineer</v>
      </c>
      <c r="R14" s="158" t="str">
        <f t="shared" si="8"/>
        <v>01</v>
      </c>
      <c r="S14" s="159" cm="1">
        <f t="array" aca="1" ref="S14" ca="1">IF($O14="Y",VLOOKUP($P14,INDIRECT($P$3),S$7,0)*INDIRECT($P$2),VLOOKUP($P14,INDIRECT($P$3),S$7,0))</f>
        <v>94601.847891246696</v>
      </c>
      <c r="T14" s="159" cm="1">
        <f t="array" aca="1" ref="T14" ca="1">IF($O14="Y",VLOOKUP($P14,INDIRECT($P$3),T$7,0)*INDIRECT($P$2),VLOOKUP($P14,INDIRECT($P$3),T$7,0))</f>
        <v>99331.272748729592</v>
      </c>
      <c r="U14" s="159" cm="1">
        <f t="array" aca="1" ref="U14" ca="1">IF($O14="Y",VLOOKUP($P14,INDIRECT($P$3),U$7,0)*INDIRECT($P$2),VLOOKUP($P14,INDIRECT($P$3),U$7,0))</f>
        <v>104303.16010624789</v>
      </c>
      <c r="V14" s="159" cm="1">
        <f t="array" aca="1" ref="V14" ca="1">IF($O14="Y",VLOOKUP($P14,INDIRECT($P$3),V$7,0)*INDIRECT($P$2),VLOOKUP($P14,INDIRECT($P$3),V$7,0))</f>
        <v>109514.51066841767</v>
      </c>
      <c r="W14" s="159" cm="1">
        <f t="array" aca="1" ref="W14" ca="1">IF($O14="Y",VLOOKUP($P14,INDIRECT($P$3),W$7,0)*INDIRECT($P$2),VLOOKUP($P14,INDIRECT($P$3),W$7,0))</f>
        <v>114966.82408293095</v>
      </c>
      <c r="X14" s="159" cm="1">
        <f t="array" aca="1" ref="X14" ca="1">IF($O14="Y",VLOOKUP($P14,INDIRECT($P$3),X$7,0)*INDIRECT($P$2),VLOOKUP($P14,INDIRECT($P$3),X$7,0))</f>
        <v>120639.38222497446</v>
      </c>
      <c r="Y14" s="167" t="str">
        <f t="shared" si="9"/>
        <v>Y</v>
      </c>
      <c r="Z14" s="167" t="str">
        <f t="shared" si="10"/>
        <v>03980C</v>
      </c>
      <c r="AA14" s="168" t="str">
        <f t="shared" si="11"/>
        <v>Professional Engineer</v>
      </c>
      <c r="AB14" s="167" t="str">
        <f t="shared" si="12"/>
        <v>01</v>
      </c>
      <c r="AC14" s="169">
        <f t="shared" ca="1" si="13"/>
        <v>45.481999999999999</v>
      </c>
      <c r="AD14" s="169">
        <f t="shared" ca="1" si="14"/>
        <v>47.755000000000003</v>
      </c>
      <c r="AE14" s="169">
        <f t="shared" ca="1" si="15"/>
        <v>50.146000000000001</v>
      </c>
      <c r="AF14" s="169">
        <f t="shared" ca="1" si="16"/>
        <v>52.651000000000003</v>
      </c>
      <c r="AG14" s="169">
        <f t="shared" ca="1" si="17"/>
        <v>55.273000000000003</v>
      </c>
      <c r="AH14" s="169">
        <f t="shared" ca="1" si="18"/>
        <v>58</v>
      </c>
    </row>
    <row r="15" spans="1:34" ht="12.75" customHeight="1">
      <c r="A15" s="104" t="s">
        <v>11</v>
      </c>
      <c r="B15" s="138" t="s">
        <v>162</v>
      </c>
      <c r="C15" s="104" t="s">
        <v>48</v>
      </c>
      <c r="D15" s="105" t="s">
        <v>103</v>
      </c>
      <c r="E15" s="104">
        <v>523</v>
      </c>
      <c r="F15" s="104">
        <v>11</v>
      </c>
      <c r="G15" s="93" t="s">
        <v>6</v>
      </c>
      <c r="H15" s="106">
        <f t="shared" ca="1" si="0"/>
        <v>103260.38286046802</v>
      </c>
      <c r="I15" s="106">
        <f t="shared" ca="1" si="1"/>
        <v>108413.10235044306</v>
      </c>
      <c r="J15" s="106">
        <f t="shared" ca="1" si="2"/>
        <v>113835.8589768908</v>
      </c>
      <c r="K15" s="106">
        <f t="shared" ca="1" si="3"/>
        <v>119496.36569088507</v>
      </c>
      <c r="L15" s="106">
        <f t="shared" ca="1" si="4"/>
        <v>125472.40639606821</v>
      </c>
      <c r="M15" s="106">
        <f t="shared" ca="1" si="5"/>
        <v>131663.82443398749</v>
      </c>
      <c r="N15" s="106"/>
      <c r="O15" s="157" t="s">
        <v>176</v>
      </c>
      <c r="P15" s="160" t="str">
        <f t="shared" si="6"/>
        <v>03990C</v>
      </c>
      <c r="Q15" s="152" t="str">
        <f t="shared" si="7"/>
        <v>Senior Professional Engineer</v>
      </c>
      <c r="R15" s="158" t="str">
        <f t="shared" si="8"/>
        <v>02</v>
      </c>
      <c r="S15" s="159" cm="1">
        <f t="array" aca="1" ref="S15" ca="1">IF($O15="Y",VLOOKUP($P15,INDIRECT($P$3),S$7,0)*INDIRECT($P$2),VLOOKUP($P15,INDIRECT($P$3),S$7,0))</f>
        <v>103260.38286046802</v>
      </c>
      <c r="T15" s="159" cm="1">
        <f t="array" aca="1" ref="T15" ca="1">IF($O15="Y",VLOOKUP($P15,INDIRECT($P$3),T$7,0)*INDIRECT($P$2),VLOOKUP($P15,INDIRECT($P$3),T$7,0))</f>
        <v>108413.10235044306</v>
      </c>
      <c r="U15" s="159" cm="1">
        <f t="array" aca="1" ref="U15" ca="1">IF($O15="Y",VLOOKUP($P15,INDIRECT($P$3),U$7,0)*INDIRECT($P$2),VLOOKUP($P15,INDIRECT($P$3),U$7,0))</f>
        <v>113835.8589768908</v>
      </c>
      <c r="V15" s="159" cm="1">
        <f t="array" aca="1" ref="V15" ca="1">IF($O15="Y",VLOOKUP($P15,INDIRECT($P$3),V$7,0)*INDIRECT($P$2),VLOOKUP($P15,INDIRECT($P$3),V$7,0))</f>
        <v>119496.36569088507</v>
      </c>
      <c r="W15" s="159" cm="1">
        <f t="array" aca="1" ref="W15" ca="1">IF($O15="Y",VLOOKUP($P15,INDIRECT($P$3),W$7,0)*INDIRECT($P$2),VLOOKUP($P15,INDIRECT($P$3),W$7,0))</f>
        <v>125472.40639606821</v>
      </c>
      <c r="X15" s="159" cm="1">
        <f t="array" aca="1" ref="X15" ca="1">IF($O15="Y",VLOOKUP($P15,INDIRECT($P$3),X$7,0)*INDIRECT($P$2),VLOOKUP($P15,INDIRECT($P$3),X$7,0))</f>
        <v>131663.82443398749</v>
      </c>
      <c r="Y15" s="167" t="str">
        <f t="shared" si="9"/>
        <v>Y</v>
      </c>
      <c r="Z15" s="167" t="str">
        <f t="shared" si="10"/>
        <v>03990C</v>
      </c>
      <c r="AA15" s="168" t="str">
        <f t="shared" si="11"/>
        <v>Senior Professional Engineer</v>
      </c>
      <c r="AB15" s="167" t="str">
        <f t="shared" si="12"/>
        <v>02</v>
      </c>
      <c r="AC15" s="169">
        <f t="shared" ca="1" si="13"/>
        <v>49.643999999999998</v>
      </c>
      <c r="AD15" s="169">
        <f t="shared" ca="1" si="14"/>
        <v>52.122</v>
      </c>
      <c r="AE15" s="169">
        <f t="shared" ca="1" si="15"/>
        <v>54.728999999999999</v>
      </c>
      <c r="AF15" s="169">
        <f t="shared" ca="1" si="16"/>
        <v>57.45</v>
      </c>
      <c r="AG15" s="169">
        <f t="shared" ca="1" si="17"/>
        <v>60.323</v>
      </c>
      <c r="AH15" s="169">
        <f t="shared" ca="1" si="18"/>
        <v>63.3</v>
      </c>
    </row>
    <row r="16" spans="1:34" ht="12.75" customHeight="1">
      <c r="A16" s="104" t="s">
        <v>203</v>
      </c>
      <c r="B16" s="138" t="s">
        <v>162</v>
      </c>
      <c r="C16" s="104" t="s">
        <v>48</v>
      </c>
      <c r="D16" s="105" t="s">
        <v>204</v>
      </c>
      <c r="E16" s="104">
        <v>508</v>
      </c>
      <c r="F16" s="104">
        <v>11</v>
      </c>
      <c r="G16" s="93" t="s">
        <v>6</v>
      </c>
      <c r="H16" s="106">
        <f t="shared" ref="H16" si="19">S16</f>
        <v>103260.38286046802</v>
      </c>
      <c r="I16" s="106">
        <f t="shared" ref="I16" si="20">T16</f>
        <v>108413.10235044306</v>
      </c>
      <c r="J16" s="106">
        <f t="shared" ref="J16" si="21">U16</f>
        <v>113835.8589768908</v>
      </c>
      <c r="K16" s="106">
        <f t="shared" ref="K16" si="22">V16</f>
        <v>119496.36569088507</v>
      </c>
      <c r="L16" s="106">
        <f t="shared" ref="L16" si="23">W16</f>
        <v>125472.40639606821</v>
      </c>
      <c r="M16" s="106">
        <f t="shared" ref="M16" si="24">X16</f>
        <v>131663.82443398749</v>
      </c>
      <c r="N16" s="106"/>
      <c r="O16" s="157" t="s">
        <v>176</v>
      </c>
      <c r="P16" s="160" t="str">
        <f t="shared" si="6"/>
        <v>59513C</v>
      </c>
      <c r="Q16" s="152" t="str">
        <f t="shared" si="7"/>
        <v>Senior Professional Electrical Engineer</v>
      </c>
      <c r="R16" s="158" t="str">
        <f t="shared" si="8"/>
        <v>02</v>
      </c>
      <c r="S16" s="159">
        <v>103260.38286046802</v>
      </c>
      <c r="T16" s="159">
        <v>108413.10235044306</v>
      </c>
      <c r="U16" s="159">
        <v>113835.8589768908</v>
      </c>
      <c r="V16" s="159">
        <v>119496.36569088507</v>
      </c>
      <c r="W16" s="159">
        <v>125472.40639606821</v>
      </c>
      <c r="X16" s="159">
        <v>131663.82443398749</v>
      </c>
      <c r="Y16" s="167" t="str">
        <f t="shared" si="9"/>
        <v>Y</v>
      </c>
      <c r="Z16" s="167" t="str">
        <f t="shared" si="10"/>
        <v>59513C</v>
      </c>
      <c r="AA16" s="168" t="str">
        <f t="shared" si="11"/>
        <v>Senior Professional Electrical Engineer</v>
      </c>
      <c r="AB16" s="167" t="str">
        <f t="shared" si="12"/>
        <v>02</v>
      </c>
      <c r="AC16" s="169">
        <f t="shared" si="13"/>
        <v>49.643999999999998</v>
      </c>
      <c r="AD16" s="169">
        <f t="shared" si="14"/>
        <v>52.122</v>
      </c>
      <c r="AE16" s="169">
        <f t="shared" si="15"/>
        <v>54.728999999999999</v>
      </c>
      <c r="AF16" s="169">
        <f t="shared" si="16"/>
        <v>57.45</v>
      </c>
      <c r="AG16" s="169">
        <f t="shared" si="17"/>
        <v>60.323</v>
      </c>
      <c r="AH16" s="169">
        <f t="shared" si="18"/>
        <v>63.3</v>
      </c>
    </row>
    <row r="17" spans="1:34" ht="12.75" customHeight="1">
      <c r="A17" s="104" t="s">
        <v>172</v>
      </c>
      <c r="B17" s="138" t="s">
        <v>163</v>
      </c>
      <c r="C17" s="104" t="s">
        <v>48</v>
      </c>
      <c r="D17" s="105" t="s">
        <v>173</v>
      </c>
      <c r="E17" s="104">
        <v>625</v>
      </c>
      <c r="F17" s="104">
        <v>13</v>
      </c>
      <c r="G17" s="93" t="s">
        <v>6</v>
      </c>
      <c r="H17" s="106">
        <f t="shared" ca="1" si="0"/>
        <v>119850.05710353203</v>
      </c>
      <c r="I17" s="106">
        <f t="shared" ca="1" si="1"/>
        <v>125824.62728039589</v>
      </c>
      <c r="J17" s="106">
        <f t="shared" ca="1" si="2"/>
        <v>132114.73144844864</v>
      </c>
      <c r="K17" s="106">
        <f t="shared" ca="1" si="3"/>
        <v>138718.90201455727</v>
      </c>
      <c r="L17" s="106">
        <f t="shared" ca="1" si="4"/>
        <v>145637.13604353546</v>
      </c>
      <c r="M17" s="106">
        <f t="shared" ca="1" si="5"/>
        <v>152824.46932093322</v>
      </c>
      <c r="N17" s="106"/>
      <c r="O17" s="157" t="s">
        <v>176</v>
      </c>
      <c r="P17" s="160" t="str">
        <f t="shared" si="6"/>
        <v>53044C</v>
      </c>
      <c r="Q17" s="152" t="str">
        <f t="shared" si="7"/>
        <v>Sewer Operations Engineer</v>
      </c>
      <c r="R17" s="158" t="str">
        <f t="shared" si="8"/>
        <v>05</v>
      </c>
      <c r="S17" s="159" cm="1">
        <f t="array" aca="1" ref="S17" ca="1">IF($O17="Y",VLOOKUP($P17,INDIRECT($P$3),S$7,0)*INDIRECT($P$2),VLOOKUP($P17,INDIRECT($P$3),S$7,0))</f>
        <v>119850.05710353203</v>
      </c>
      <c r="T17" s="159" cm="1">
        <f t="array" aca="1" ref="T17" ca="1">IF($O17="Y",VLOOKUP($P17,INDIRECT($P$3),T$7,0)*INDIRECT($P$2),VLOOKUP($P17,INDIRECT($P$3),T$7,0))</f>
        <v>125824.62728039589</v>
      </c>
      <c r="U17" s="159" cm="1">
        <f t="array" aca="1" ref="U17" ca="1">IF($O17="Y",VLOOKUP($P17,INDIRECT($P$3),U$7,0)*INDIRECT($P$2),VLOOKUP($P17,INDIRECT($P$3),U$7,0))</f>
        <v>132114.73144844864</v>
      </c>
      <c r="V17" s="159" cm="1">
        <f t="array" aca="1" ref="V17" ca="1">IF($O17="Y",VLOOKUP($P17,INDIRECT($P$3),V$7,0)*INDIRECT($P$2),VLOOKUP($P17,INDIRECT($P$3),V$7,0))</f>
        <v>138718.90201455727</v>
      </c>
      <c r="W17" s="159" cm="1">
        <f t="array" aca="1" ref="W17" ca="1">IF($O17="Y",VLOOKUP($P17,INDIRECT($P$3),W$7,0)*INDIRECT($P$2),VLOOKUP($P17,INDIRECT($P$3),W$7,0))</f>
        <v>145637.13604353546</v>
      </c>
      <c r="X17" s="159" cm="1">
        <f t="array" aca="1" ref="X17" ca="1">IF($O17="Y",VLOOKUP($P17,INDIRECT($P$3),X$7,0)*INDIRECT($P$2),VLOOKUP($P17,INDIRECT($P$3),X$7,0))</f>
        <v>152824.46932093322</v>
      </c>
      <c r="Y17" s="167" t="str">
        <f t="shared" si="9"/>
        <v>Y</v>
      </c>
      <c r="Z17" s="167" t="str">
        <f t="shared" si="10"/>
        <v>53044C</v>
      </c>
      <c r="AA17" s="168" t="str">
        <f t="shared" si="11"/>
        <v>Sewer Operations Engineer</v>
      </c>
      <c r="AB17" s="167" t="str">
        <f t="shared" si="12"/>
        <v>05</v>
      </c>
      <c r="AC17" s="169">
        <f t="shared" ca="1" si="13"/>
        <v>57.62</v>
      </c>
      <c r="AD17" s="169">
        <f t="shared" ca="1" si="14"/>
        <v>60.493000000000002</v>
      </c>
      <c r="AE17" s="169">
        <f t="shared" ca="1" si="15"/>
        <v>63.517000000000003</v>
      </c>
      <c r="AF17" s="169">
        <f t="shared" ca="1" si="16"/>
        <v>66.691999999999993</v>
      </c>
      <c r="AG17" s="169">
        <f t="shared" ca="1" si="17"/>
        <v>70.018000000000001</v>
      </c>
      <c r="AH17" s="169">
        <f t="shared" ca="1" si="18"/>
        <v>73.472999999999999</v>
      </c>
    </row>
    <row r="18" spans="1:34" ht="12.75" customHeight="1">
      <c r="A18" s="104" t="s">
        <v>16</v>
      </c>
      <c r="B18" s="138" t="s">
        <v>163</v>
      </c>
      <c r="C18" s="104" t="s">
        <v>48</v>
      </c>
      <c r="D18" s="105" t="s">
        <v>104</v>
      </c>
      <c r="E18" s="104">
        <v>625</v>
      </c>
      <c r="F18" s="104">
        <v>13</v>
      </c>
      <c r="G18" s="93" t="s">
        <v>6</v>
      </c>
      <c r="H18" s="106">
        <f t="shared" ca="1" si="0"/>
        <v>119850.05710353203</v>
      </c>
      <c r="I18" s="106">
        <f t="shared" ca="1" si="1"/>
        <v>125824.62728039589</v>
      </c>
      <c r="J18" s="106">
        <f t="shared" ca="1" si="2"/>
        <v>132114.73144844864</v>
      </c>
      <c r="K18" s="106">
        <f t="shared" ca="1" si="3"/>
        <v>138718.90201455727</v>
      </c>
      <c r="L18" s="106">
        <f t="shared" ca="1" si="4"/>
        <v>145637.13604353546</v>
      </c>
      <c r="M18" s="106">
        <f t="shared" ca="1" si="5"/>
        <v>152824.46932093322</v>
      </c>
      <c r="N18" s="106"/>
      <c r="O18" s="157" t="s">
        <v>176</v>
      </c>
      <c r="P18" s="160" t="str">
        <f t="shared" si="6"/>
        <v>09440C</v>
      </c>
      <c r="Q18" s="152" t="str">
        <f t="shared" si="7"/>
        <v>Street Maintenance Engineer</v>
      </c>
      <c r="R18" s="158" t="str">
        <f t="shared" si="8"/>
        <v>05</v>
      </c>
      <c r="S18" s="159" cm="1">
        <f t="array" aca="1" ref="S18" ca="1">IF($O18="Y",VLOOKUP($P18,INDIRECT($P$3),S$7,0)*INDIRECT($P$2),VLOOKUP($P18,INDIRECT($P$3),S$7,0))</f>
        <v>119850.05710353203</v>
      </c>
      <c r="T18" s="159" cm="1">
        <f t="array" aca="1" ref="T18" ca="1">IF($O18="Y",VLOOKUP($P18,INDIRECT($P$3),T$7,0)*INDIRECT($P$2),VLOOKUP($P18,INDIRECT($P$3),T$7,0))</f>
        <v>125824.62728039589</v>
      </c>
      <c r="U18" s="159" cm="1">
        <f t="array" aca="1" ref="U18" ca="1">IF($O18="Y",VLOOKUP($P18,INDIRECT($P$3),U$7,0)*INDIRECT($P$2),VLOOKUP($P18,INDIRECT($P$3),U$7,0))</f>
        <v>132114.73144844864</v>
      </c>
      <c r="V18" s="159" cm="1">
        <f t="array" aca="1" ref="V18" ca="1">IF($O18="Y",VLOOKUP($P18,INDIRECT($P$3),V$7,0)*INDIRECT($P$2),VLOOKUP($P18,INDIRECT($P$3),V$7,0))</f>
        <v>138718.90201455727</v>
      </c>
      <c r="W18" s="159" cm="1">
        <f t="array" aca="1" ref="W18" ca="1">IF($O18="Y",VLOOKUP($P18,INDIRECT($P$3),W$7,0)*INDIRECT($P$2),VLOOKUP($P18,INDIRECT($P$3),W$7,0))</f>
        <v>145637.13604353546</v>
      </c>
      <c r="X18" s="159" cm="1">
        <f t="array" aca="1" ref="X18" ca="1">IF($O18="Y",VLOOKUP($P18,INDIRECT($P$3),X$7,0)*INDIRECT($P$2),VLOOKUP($P18,INDIRECT($P$3),X$7,0))</f>
        <v>152824.46932093322</v>
      </c>
      <c r="Y18" s="167" t="str">
        <f t="shared" si="9"/>
        <v>Y</v>
      </c>
      <c r="Z18" s="167" t="str">
        <f t="shared" si="10"/>
        <v>09440C</v>
      </c>
      <c r="AA18" s="168" t="str">
        <f t="shared" si="11"/>
        <v>Street Maintenance Engineer</v>
      </c>
      <c r="AB18" s="167" t="str">
        <f t="shared" si="12"/>
        <v>05</v>
      </c>
      <c r="AC18" s="169">
        <f t="shared" ca="1" si="13"/>
        <v>57.62</v>
      </c>
      <c r="AD18" s="169">
        <f t="shared" ca="1" si="14"/>
        <v>60.493000000000002</v>
      </c>
      <c r="AE18" s="169">
        <f t="shared" ca="1" si="15"/>
        <v>63.517000000000003</v>
      </c>
      <c r="AF18" s="169">
        <f t="shared" ca="1" si="16"/>
        <v>66.691999999999993</v>
      </c>
      <c r="AG18" s="169">
        <f t="shared" ca="1" si="17"/>
        <v>70.018000000000001</v>
      </c>
      <c r="AH18" s="169">
        <f t="shared" ca="1" si="18"/>
        <v>73.472999999999999</v>
      </c>
    </row>
    <row r="19" spans="1:34" ht="12.75" customHeight="1">
      <c r="A19" s="104" t="s">
        <v>18</v>
      </c>
      <c r="B19" s="138" t="s">
        <v>163</v>
      </c>
      <c r="C19" s="104" t="s">
        <v>48</v>
      </c>
      <c r="D19" s="105" t="s">
        <v>105</v>
      </c>
      <c r="E19" s="104">
        <v>588</v>
      </c>
      <c r="F19" s="104">
        <v>13</v>
      </c>
      <c r="G19" s="93" t="s">
        <v>6</v>
      </c>
      <c r="H19" s="106">
        <f t="shared" ca="1" si="0"/>
        <v>119850.05710353203</v>
      </c>
      <c r="I19" s="106">
        <f t="shared" ca="1" si="1"/>
        <v>125824.62728039589</v>
      </c>
      <c r="J19" s="106">
        <f t="shared" ca="1" si="2"/>
        <v>132114.73144844864</v>
      </c>
      <c r="K19" s="106">
        <f t="shared" ca="1" si="3"/>
        <v>138718.90201455727</v>
      </c>
      <c r="L19" s="106">
        <f t="shared" ca="1" si="4"/>
        <v>145637.13604353546</v>
      </c>
      <c r="M19" s="106">
        <f t="shared" ca="1" si="5"/>
        <v>152824.46932093322</v>
      </c>
      <c r="N19" s="106"/>
      <c r="O19" s="157" t="s">
        <v>176</v>
      </c>
      <c r="P19" s="160" t="str">
        <f t="shared" si="6"/>
        <v>09750C</v>
      </c>
      <c r="Q19" s="152" t="str">
        <f t="shared" si="7"/>
        <v>Supt, Environmental Engnrg</v>
      </c>
      <c r="R19" s="158" t="str">
        <f t="shared" si="8"/>
        <v>05</v>
      </c>
      <c r="S19" s="159" cm="1">
        <f t="array" aca="1" ref="S19" ca="1">IF($O19="Y",VLOOKUP($P19,INDIRECT($P$3),S$7,0)*INDIRECT($P$2),VLOOKUP($P19,INDIRECT($P$3),S$7,0))</f>
        <v>119850.05710353203</v>
      </c>
      <c r="T19" s="159" cm="1">
        <f t="array" aca="1" ref="T19" ca="1">IF($O19="Y",VLOOKUP($P19,INDIRECT($P$3),T$7,0)*INDIRECT($P$2),VLOOKUP($P19,INDIRECT($P$3),T$7,0))</f>
        <v>125824.62728039589</v>
      </c>
      <c r="U19" s="159" cm="1">
        <f t="array" aca="1" ref="U19" ca="1">IF($O19="Y",VLOOKUP($P19,INDIRECT($P$3),U$7,0)*INDIRECT($P$2),VLOOKUP($P19,INDIRECT($P$3),U$7,0))</f>
        <v>132114.73144844864</v>
      </c>
      <c r="V19" s="159" cm="1">
        <f t="array" aca="1" ref="V19" ca="1">IF($O19="Y",VLOOKUP($P19,INDIRECT($P$3),V$7,0)*INDIRECT($P$2),VLOOKUP($P19,INDIRECT($P$3),V$7,0))</f>
        <v>138718.90201455727</v>
      </c>
      <c r="W19" s="159" cm="1">
        <f t="array" aca="1" ref="W19" ca="1">IF($O19="Y",VLOOKUP($P19,INDIRECT($P$3),W$7,0)*INDIRECT($P$2),VLOOKUP($P19,INDIRECT($P$3),W$7,0))</f>
        <v>145637.13604353546</v>
      </c>
      <c r="X19" s="159" cm="1">
        <f t="array" aca="1" ref="X19" ca="1">IF($O19="Y",VLOOKUP($P19,INDIRECT($P$3),X$7,0)*INDIRECT($P$2),VLOOKUP($P19,INDIRECT($P$3),X$7,0))</f>
        <v>152824.46932093322</v>
      </c>
      <c r="Y19" s="167" t="str">
        <f t="shared" si="9"/>
        <v>Y</v>
      </c>
      <c r="Z19" s="167" t="str">
        <f t="shared" si="10"/>
        <v>09750C</v>
      </c>
      <c r="AA19" s="168" t="str">
        <f t="shared" si="11"/>
        <v>Supt, Environmental Engnrg</v>
      </c>
      <c r="AB19" s="167" t="str">
        <f t="shared" si="12"/>
        <v>05</v>
      </c>
      <c r="AC19" s="169">
        <f t="shared" ca="1" si="13"/>
        <v>57.62</v>
      </c>
      <c r="AD19" s="169">
        <f t="shared" ca="1" si="14"/>
        <v>60.493000000000002</v>
      </c>
      <c r="AE19" s="169">
        <f t="shared" ca="1" si="15"/>
        <v>63.517000000000003</v>
      </c>
      <c r="AF19" s="169">
        <f t="shared" ca="1" si="16"/>
        <v>66.691999999999993</v>
      </c>
      <c r="AG19" s="169">
        <f t="shared" ca="1" si="17"/>
        <v>70.018000000000001</v>
      </c>
      <c r="AH19" s="169">
        <f t="shared" ca="1" si="18"/>
        <v>73.472999999999999</v>
      </c>
    </row>
    <row r="20" spans="1:34" ht="12.75" customHeight="1">
      <c r="A20" s="104" t="s">
        <v>20</v>
      </c>
      <c r="B20" s="138" t="s">
        <v>163</v>
      </c>
      <c r="C20" s="104" t="s">
        <v>48</v>
      </c>
      <c r="D20" s="105" t="s">
        <v>107</v>
      </c>
      <c r="E20" s="104">
        <v>605</v>
      </c>
      <c r="F20" s="104">
        <v>13</v>
      </c>
      <c r="G20" s="93" t="s">
        <v>6</v>
      </c>
      <c r="H20" s="106">
        <f t="shared" ca="1" si="0"/>
        <v>119850.05710353203</v>
      </c>
      <c r="I20" s="106">
        <f t="shared" ca="1" si="1"/>
        <v>125824.62728039589</v>
      </c>
      <c r="J20" s="106">
        <f t="shared" ca="1" si="2"/>
        <v>132114.73144844864</v>
      </c>
      <c r="K20" s="106">
        <f t="shared" ca="1" si="3"/>
        <v>138718.90201455727</v>
      </c>
      <c r="L20" s="106">
        <f t="shared" ca="1" si="4"/>
        <v>145637.13604353546</v>
      </c>
      <c r="M20" s="106">
        <f t="shared" ca="1" si="5"/>
        <v>152824.46932093322</v>
      </c>
      <c r="N20" s="106"/>
      <c r="O20" s="157" t="s">
        <v>176</v>
      </c>
      <c r="P20" s="160" t="str">
        <f t="shared" si="6"/>
        <v>09790C</v>
      </c>
      <c r="Q20" s="152" t="str">
        <f t="shared" si="7"/>
        <v xml:space="preserve">Supt, Water Plant Operations </v>
      </c>
      <c r="R20" s="158" t="str">
        <f t="shared" si="8"/>
        <v>05</v>
      </c>
      <c r="S20" s="159" cm="1">
        <f t="array" aca="1" ref="S20" ca="1">IF($O20="Y",VLOOKUP($P20,INDIRECT($P$3),S$7,0)*INDIRECT($P$2),VLOOKUP($P20,INDIRECT($P$3),S$7,0))</f>
        <v>119850.05710353203</v>
      </c>
      <c r="T20" s="159" cm="1">
        <f t="array" aca="1" ref="T20" ca="1">IF($O20="Y",VLOOKUP($P20,INDIRECT($P$3),T$7,0)*INDIRECT($P$2),VLOOKUP($P20,INDIRECT($P$3),T$7,0))</f>
        <v>125824.62728039589</v>
      </c>
      <c r="U20" s="159" cm="1">
        <f t="array" aca="1" ref="U20" ca="1">IF($O20="Y",VLOOKUP($P20,INDIRECT($P$3),U$7,0)*INDIRECT($P$2),VLOOKUP($P20,INDIRECT($P$3),U$7,0))</f>
        <v>132114.73144844864</v>
      </c>
      <c r="V20" s="159" cm="1">
        <f t="array" aca="1" ref="V20" ca="1">IF($O20="Y",VLOOKUP($P20,INDIRECT($P$3),V$7,0)*INDIRECT($P$2),VLOOKUP($P20,INDIRECT($P$3),V$7,0))</f>
        <v>138718.90201455727</v>
      </c>
      <c r="W20" s="159" cm="1">
        <f t="array" aca="1" ref="W20" ca="1">IF($O20="Y",VLOOKUP($P20,INDIRECT($P$3),W$7,0)*INDIRECT($P$2),VLOOKUP($P20,INDIRECT($P$3),W$7,0))</f>
        <v>145637.13604353546</v>
      </c>
      <c r="X20" s="159" cm="1">
        <f t="array" aca="1" ref="X20" ca="1">IF($O20="Y",VLOOKUP($P20,INDIRECT($P$3),X$7,0)*INDIRECT($P$2),VLOOKUP($P20,INDIRECT($P$3),X$7,0))</f>
        <v>152824.46932093322</v>
      </c>
      <c r="Y20" s="167" t="str">
        <f t="shared" si="9"/>
        <v>Y</v>
      </c>
      <c r="Z20" s="167" t="str">
        <f t="shared" si="10"/>
        <v>09790C</v>
      </c>
      <c r="AA20" s="168" t="str">
        <f t="shared" si="11"/>
        <v xml:space="preserve">Supt, Water Plant Operations </v>
      </c>
      <c r="AB20" s="167" t="str">
        <f t="shared" si="12"/>
        <v>05</v>
      </c>
      <c r="AC20" s="169">
        <f t="shared" ca="1" si="13"/>
        <v>57.62</v>
      </c>
      <c r="AD20" s="169">
        <f t="shared" ca="1" si="14"/>
        <v>60.493000000000002</v>
      </c>
      <c r="AE20" s="169">
        <f t="shared" ca="1" si="15"/>
        <v>63.517000000000003</v>
      </c>
      <c r="AF20" s="169">
        <f t="shared" ca="1" si="16"/>
        <v>66.691999999999993</v>
      </c>
      <c r="AG20" s="169">
        <f t="shared" ca="1" si="17"/>
        <v>70.018000000000001</v>
      </c>
      <c r="AH20" s="169">
        <f t="shared" ca="1" si="18"/>
        <v>73.472999999999999</v>
      </c>
    </row>
    <row r="21" spans="1:34" ht="12.75" customHeight="1">
      <c r="A21" s="104" t="s">
        <v>127</v>
      </c>
      <c r="B21" s="139" t="s">
        <v>163</v>
      </c>
      <c r="C21" s="104" t="s">
        <v>48</v>
      </c>
      <c r="D21" s="105" t="s">
        <v>125</v>
      </c>
      <c r="E21" s="104">
        <v>600</v>
      </c>
      <c r="F21" s="104">
        <v>13</v>
      </c>
      <c r="G21" s="93" t="s">
        <v>6</v>
      </c>
      <c r="H21" s="106">
        <f t="shared" ca="1" si="0"/>
        <v>119850.05710353203</v>
      </c>
      <c r="I21" s="106">
        <f t="shared" ca="1" si="1"/>
        <v>125824.62728039589</v>
      </c>
      <c r="J21" s="106">
        <f t="shared" ca="1" si="2"/>
        <v>132114.73144844864</v>
      </c>
      <c r="K21" s="106">
        <f t="shared" ca="1" si="3"/>
        <v>138718.90201455727</v>
      </c>
      <c r="L21" s="106">
        <f t="shared" ca="1" si="4"/>
        <v>145637.13604353546</v>
      </c>
      <c r="M21" s="106">
        <f t="shared" ca="1" si="5"/>
        <v>152824.46932093322</v>
      </c>
      <c r="N21" s="106"/>
      <c r="O21" s="157" t="s">
        <v>176</v>
      </c>
      <c r="P21" s="160" t="str">
        <f t="shared" si="6"/>
        <v>10625C</v>
      </c>
      <c r="Q21" s="152" t="str">
        <f t="shared" si="7"/>
        <v>Traffic Operations Engineer</v>
      </c>
      <c r="R21" s="158" t="str">
        <f t="shared" si="8"/>
        <v>05</v>
      </c>
      <c r="S21" s="159" cm="1">
        <f t="array" aca="1" ref="S21" ca="1">IF($O21="Y",VLOOKUP($P21,INDIRECT($P$3),S$7,0)*INDIRECT($P$2),VLOOKUP($P21,INDIRECT($P$3),S$7,0))</f>
        <v>119850.05710353203</v>
      </c>
      <c r="T21" s="159" cm="1">
        <f t="array" aca="1" ref="T21" ca="1">IF($O21="Y",VLOOKUP($P21,INDIRECT($P$3),T$7,0)*INDIRECT($P$2),VLOOKUP($P21,INDIRECT($P$3),T$7,0))</f>
        <v>125824.62728039589</v>
      </c>
      <c r="U21" s="159" cm="1">
        <f t="array" aca="1" ref="U21" ca="1">IF($O21="Y",VLOOKUP($P21,INDIRECT($P$3),U$7,0)*INDIRECT($P$2),VLOOKUP($P21,INDIRECT($P$3),U$7,0))</f>
        <v>132114.73144844864</v>
      </c>
      <c r="V21" s="159" cm="1">
        <f t="array" aca="1" ref="V21" ca="1">IF($O21="Y",VLOOKUP($P21,INDIRECT($P$3),V$7,0)*INDIRECT($P$2),VLOOKUP($P21,INDIRECT($P$3),V$7,0))</f>
        <v>138718.90201455727</v>
      </c>
      <c r="W21" s="159" cm="1">
        <f t="array" aca="1" ref="W21" ca="1">IF($O21="Y",VLOOKUP($P21,INDIRECT($P$3),W$7,0)*INDIRECT($P$2),VLOOKUP($P21,INDIRECT($P$3),W$7,0))</f>
        <v>145637.13604353546</v>
      </c>
      <c r="X21" s="159" cm="1">
        <f t="array" aca="1" ref="X21" ca="1">IF($O21="Y",VLOOKUP($P21,INDIRECT($P$3),X$7,0)*INDIRECT($P$2),VLOOKUP($P21,INDIRECT($P$3),X$7,0))</f>
        <v>152824.46932093322</v>
      </c>
      <c r="Y21" s="167" t="str">
        <f t="shared" si="9"/>
        <v>Y</v>
      </c>
      <c r="Z21" s="167" t="str">
        <f t="shared" si="10"/>
        <v>10625C</v>
      </c>
      <c r="AA21" s="168" t="str">
        <f t="shared" si="11"/>
        <v>Traffic Operations Engineer</v>
      </c>
      <c r="AB21" s="167" t="str">
        <f t="shared" si="12"/>
        <v>05</v>
      </c>
      <c r="AC21" s="169">
        <f t="shared" ca="1" si="13"/>
        <v>57.62</v>
      </c>
      <c r="AD21" s="169">
        <f t="shared" ca="1" si="14"/>
        <v>60.493000000000002</v>
      </c>
      <c r="AE21" s="169">
        <f t="shared" ca="1" si="15"/>
        <v>63.517000000000003</v>
      </c>
      <c r="AF21" s="169">
        <f t="shared" ca="1" si="16"/>
        <v>66.691999999999993</v>
      </c>
      <c r="AG21" s="169">
        <f t="shared" ca="1" si="17"/>
        <v>70.018000000000001</v>
      </c>
      <c r="AH21" s="169">
        <f t="shared" ca="1" si="18"/>
        <v>73.472999999999999</v>
      </c>
    </row>
    <row r="22" spans="1:34" s="125" customFormat="1">
      <c r="A22" s="93"/>
      <c r="B22" s="93"/>
      <c r="C22" s="93"/>
      <c r="D22" s="93"/>
      <c r="E22" s="93"/>
      <c r="F22" s="93"/>
      <c r="G22" s="93"/>
      <c r="H22" s="93"/>
      <c r="I22" s="93"/>
      <c r="J22" s="93"/>
      <c r="K22" s="93"/>
      <c r="L22" s="93"/>
      <c r="M22" s="93"/>
      <c r="N22" s="93"/>
      <c r="O22" s="152"/>
      <c r="P22" s="160"/>
      <c r="Q22" s="152"/>
      <c r="R22" s="152"/>
      <c r="S22" s="152"/>
      <c r="T22" s="152"/>
      <c r="U22" s="154"/>
      <c r="V22" s="154"/>
      <c r="W22" s="152"/>
      <c r="X22" s="152"/>
      <c r="Y22" s="170"/>
      <c r="Z22" s="170"/>
      <c r="AA22" s="171"/>
      <c r="AB22" s="170"/>
      <c r="AC22" s="170"/>
      <c r="AD22" s="170"/>
      <c r="AE22" s="170"/>
      <c r="AF22" s="170"/>
      <c r="AG22" s="170"/>
      <c r="AH22" s="170"/>
    </row>
    <row r="23" spans="1:34" s="125" customFormat="1">
      <c r="A23" s="115" t="s">
        <v>68</v>
      </c>
      <c r="B23" s="112"/>
      <c r="C23" s="93"/>
      <c r="D23" s="93"/>
      <c r="E23" s="93"/>
      <c r="F23" s="93"/>
      <c r="G23" s="93"/>
      <c r="H23" s="93"/>
      <c r="I23" s="93"/>
      <c r="J23" s="93"/>
      <c r="K23" s="93"/>
      <c r="L23" s="93"/>
      <c r="M23" s="93"/>
      <c r="N23" s="93"/>
      <c r="O23" s="152"/>
      <c r="P23" s="160"/>
      <c r="Q23" s="152"/>
      <c r="R23" s="152"/>
      <c r="S23" s="152"/>
      <c r="T23" s="152"/>
      <c r="U23" s="154"/>
      <c r="V23" s="154"/>
      <c r="W23" s="152"/>
      <c r="X23" s="152"/>
      <c r="Y23" s="170"/>
      <c r="Z23" s="170"/>
      <c r="AA23" s="171"/>
      <c r="AB23" s="170"/>
      <c r="AC23" s="170"/>
      <c r="AD23" s="170"/>
      <c r="AE23" s="170"/>
      <c r="AF23" s="170"/>
      <c r="AG23" s="170"/>
      <c r="AH23" s="170"/>
    </row>
    <row r="24" spans="1:34" s="125" customFormat="1">
      <c r="A24" s="116">
        <f ca="1">S24</f>
        <v>43</v>
      </c>
      <c r="B24" s="112"/>
      <c r="C24" s="93" t="s">
        <v>183</v>
      </c>
      <c r="D24" s="93"/>
      <c r="E24" s="93"/>
      <c r="F24" s="93"/>
      <c r="G24" s="93"/>
      <c r="H24" s="93"/>
      <c r="I24" s="93"/>
      <c r="J24" s="93"/>
      <c r="K24" s="93"/>
      <c r="L24" s="93"/>
      <c r="M24" s="93"/>
      <c r="N24" s="93"/>
      <c r="O24" s="160" t="s">
        <v>184</v>
      </c>
      <c r="P24" s="160" t="s">
        <v>167</v>
      </c>
      <c r="Q24" s="154"/>
      <c r="R24" s="154"/>
      <c r="S24" s="159" cm="1">
        <f t="array" aca="1" ref="S24" ca="1">ROUND(IF($O24="Y",VLOOKUP($P24,INDIRECT($P$3),S$7,0)*INDIRECT($P$2),VLOOKUP($P24,INDIRECT($P$3),S$7,0)),0)</f>
        <v>43</v>
      </c>
      <c r="T24" s="152"/>
      <c r="U24" s="154"/>
      <c r="V24" s="154"/>
      <c r="W24" s="152"/>
      <c r="X24" s="152"/>
      <c r="Y24" s="167" t="str">
        <f t="shared" ref="Y24:Z25" si="25">O24</f>
        <v>N</v>
      </c>
      <c r="Z24" s="167" t="str">
        <f t="shared" si="25"/>
        <v>CENCDY</v>
      </c>
      <c r="AA24" s="168"/>
      <c r="AB24" s="167"/>
      <c r="AC24" s="169">
        <f t="shared" ref="AC24:AC25" ca="1" si="26">ROUND(S24/2080,3)</f>
        <v>2.1000000000000001E-2</v>
      </c>
      <c r="AD24" s="170"/>
      <c r="AE24" s="170"/>
      <c r="AF24" s="170"/>
      <c r="AG24" s="170"/>
      <c r="AH24" s="170"/>
    </row>
    <row r="25" spans="1:34" s="125" customFormat="1">
      <c r="A25" s="116">
        <f ca="1">S25</f>
        <v>53</v>
      </c>
      <c r="B25" s="112"/>
      <c r="C25" s="93" t="s">
        <v>182</v>
      </c>
      <c r="D25" s="93"/>
      <c r="E25" s="93"/>
      <c r="F25" s="93"/>
      <c r="G25" s="93"/>
      <c r="H25" s="93"/>
      <c r="I25" s="93"/>
      <c r="J25" s="93"/>
      <c r="K25" s="93"/>
      <c r="L25" s="93"/>
      <c r="M25" s="93"/>
      <c r="N25" s="93"/>
      <c r="O25" s="160" t="s">
        <v>184</v>
      </c>
      <c r="P25" s="160" t="s">
        <v>168</v>
      </c>
      <c r="Q25" s="154"/>
      <c r="R25" s="154"/>
      <c r="S25" s="159" cm="1">
        <f t="array" aca="1" ref="S25" ca="1">ROUND(IF($O25="Y",VLOOKUP($P25,INDIRECT($P$3),S$7,0)*INDIRECT($P$2),VLOOKUP($P25,INDIRECT($P$3),S$7,0)),0)</f>
        <v>53</v>
      </c>
      <c r="T25" s="152"/>
      <c r="U25" s="154"/>
      <c r="V25" s="154"/>
      <c r="W25" s="152"/>
      <c r="X25" s="152"/>
      <c r="Y25" s="167" t="str">
        <f t="shared" si="25"/>
        <v>N</v>
      </c>
      <c r="Z25" s="167" t="str">
        <f t="shared" si="25"/>
        <v>CENCWE</v>
      </c>
      <c r="AA25" s="168"/>
      <c r="AB25" s="167"/>
      <c r="AC25" s="169">
        <f t="shared" ca="1" si="26"/>
        <v>2.5000000000000001E-2</v>
      </c>
      <c r="AD25" s="170"/>
      <c r="AE25" s="170"/>
      <c r="AF25" s="170"/>
      <c r="AG25" s="170"/>
      <c r="AH25" s="170"/>
    </row>
    <row r="26" spans="1:34">
      <c r="O26" s="160"/>
    </row>
    <row r="27" spans="1:34" s="125" customFormat="1">
      <c r="A27" s="94" t="s">
        <v>70</v>
      </c>
      <c r="B27" s="150"/>
      <c r="C27" s="94"/>
      <c r="D27" s="150"/>
      <c r="E27" s="150"/>
      <c r="F27" s="150"/>
      <c r="G27" s="150"/>
      <c r="H27" s="93"/>
      <c r="I27" s="93"/>
      <c r="J27" s="93"/>
      <c r="K27" s="93"/>
      <c r="L27" s="93"/>
      <c r="M27" s="93"/>
      <c r="N27" s="93"/>
      <c r="O27" s="160"/>
      <c r="P27" s="160"/>
      <c r="Q27" s="152"/>
      <c r="R27" s="152"/>
      <c r="S27" s="152"/>
      <c r="T27" s="152"/>
      <c r="U27" s="154"/>
      <c r="V27" s="154"/>
      <c r="W27" s="152"/>
      <c r="X27" s="152"/>
      <c r="Y27" s="170"/>
      <c r="Z27" s="170"/>
      <c r="AA27" s="171"/>
      <c r="AB27" s="170"/>
      <c r="AC27" s="170"/>
      <c r="AD27" s="170"/>
      <c r="AE27" s="170"/>
      <c r="AF27" s="170"/>
      <c r="AG27" s="170"/>
      <c r="AH27" s="170"/>
    </row>
    <row r="28" spans="1:34" s="125" customFormat="1">
      <c r="A28" s="118" t="s">
        <v>133</v>
      </c>
      <c r="B28" s="150"/>
      <c r="C28" s="94"/>
      <c r="D28" s="150"/>
      <c r="E28" s="150"/>
      <c r="F28" s="150"/>
      <c r="G28" s="150"/>
      <c r="H28" s="93"/>
      <c r="I28" s="93"/>
      <c r="J28" s="93"/>
      <c r="K28" s="93"/>
      <c r="L28" s="93"/>
      <c r="M28" s="93"/>
      <c r="N28" s="93"/>
      <c r="O28" s="160"/>
      <c r="P28" s="160"/>
      <c r="Q28" s="152"/>
      <c r="R28" s="152"/>
      <c r="S28" s="152"/>
      <c r="T28" s="152"/>
      <c r="U28" s="154"/>
      <c r="V28" s="154"/>
      <c r="W28" s="152"/>
      <c r="X28" s="152"/>
      <c r="Y28" s="170"/>
      <c r="Z28" s="170"/>
      <c r="AA28" s="171"/>
      <c r="AB28" s="170"/>
      <c r="AC28" s="170"/>
      <c r="AD28" s="170"/>
      <c r="AE28" s="170"/>
      <c r="AF28" s="170"/>
      <c r="AG28" s="170"/>
      <c r="AH28" s="170"/>
    </row>
    <row r="29" spans="1:34" s="125" customFormat="1">
      <c r="A29" s="128">
        <f ca="1">S29</f>
        <v>904.04957451162386</v>
      </c>
      <c r="B29" s="112"/>
      <c r="C29" s="119" t="s">
        <v>24</v>
      </c>
      <c r="D29" s="150"/>
      <c r="E29" s="150"/>
      <c r="F29" s="150"/>
      <c r="G29" s="150"/>
      <c r="H29" s="93"/>
      <c r="I29" s="93"/>
      <c r="J29" s="93"/>
      <c r="K29" s="93"/>
      <c r="L29" s="93"/>
      <c r="M29" s="93"/>
      <c r="N29" s="93"/>
      <c r="O29" s="160" t="s">
        <v>176</v>
      </c>
      <c r="P29" s="160" t="s">
        <v>178</v>
      </c>
      <c r="Q29" s="159"/>
      <c r="R29" s="159"/>
      <c r="S29" s="159" cm="1">
        <f t="array" aca="1" ref="S29" ca="1">IF($O29="Y",VLOOKUP($P29,INDIRECT($P$3),S$7,0)*INDIRECT($P$2),VLOOKUP($P29,INDIRECT($P$3),S$7,0))</f>
        <v>904.04957451162386</v>
      </c>
      <c r="T29" s="152"/>
      <c r="U29" s="154"/>
      <c r="V29" s="154"/>
      <c r="W29" s="152"/>
      <c r="X29" s="152"/>
      <c r="Y29" s="167" t="str">
        <f t="shared" ref="Y29:Z32" si="27">O29</f>
        <v>Y</v>
      </c>
      <c r="Z29" s="167" t="str">
        <f t="shared" si="27"/>
        <v>Long10</v>
      </c>
      <c r="AA29" s="168"/>
      <c r="AB29" s="167"/>
      <c r="AC29" s="169">
        <f t="shared" ref="AC29:AC32" ca="1" si="28">ROUND(S29/2080,3)</f>
        <v>0.435</v>
      </c>
      <c r="AD29" s="170"/>
      <c r="AE29" s="170"/>
      <c r="AF29" s="170"/>
      <c r="AG29" s="170"/>
      <c r="AH29" s="170"/>
    </row>
    <row r="30" spans="1:34" s="125" customFormat="1">
      <c r="A30" s="128">
        <f ca="1">S30</f>
        <v>1237.4520426026884</v>
      </c>
      <c r="B30" s="112"/>
      <c r="C30" s="119" t="s">
        <v>25</v>
      </c>
      <c r="D30" s="150"/>
      <c r="E30" s="150"/>
      <c r="F30" s="150"/>
      <c r="G30" s="150"/>
      <c r="H30" s="93"/>
      <c r="I30" s="93"/>
      <c r="J30" s="93"/>
      <c r="K30" s="93"/>
      <c r="L30" s="93"/>
      <c r="M30" s="93"/>
      <c r="N30" s="93"/>
      <c r="O30" s="160" t="s">
        <v>176</v>
      </c>
      <c r="P30" s="160" t="s">
        <v>179</v>
      </c>
      <c r="Q30" s="159"/>
      <c r="R30" s="159"/>
      <c r="S30" s="159" cm="1">
        <f t="array" aca="1" ref="S30" ca="1">IF($O30="Y",VLOOKUP($P30,INDIRECT($P$3),S$7,0)*INDIRECT($P$2),VLOOKUP($P30,INDIRECT($P$3),S$7,0))</f>
        <v>1237.4520426026884</v>
      </c>
      <c r="T30" s="152"/>
      <c r="U30" s="154"/>
      <c r="V30" s="154"/>
      <c r="W30" s="152"/>
      <c r="X30" s="152"/>
      <c r="Y30" s="167" t="str">
        <f t="shared" si="27"/>
        <v>Y</v>
      </c>
      <c r="Z30" s="167" t="str">
        <f t="shared" si="27"/>
        <v>Long15</v>
      </c>
      <c r="AA30" s="168"/>
      <c r="AB30" s="167"/>
      <c r="AC30" s="169">
        <f t="shared" ca="1" si="28"/>
        <v>0.59499999999999997</v>
      </c>
      <c r="AD30" s="170"/>
      <c r="AE30" s="170"/>
      <c r="AF30" s="170"/>
      <c r="AG30" s="170"/>
      <c r="AH30" s="170"/>
    </row>
    <row r="31" spans="1:34" s="125" customFormat="1">
      <c r="A31" s="128">
        <f ca="1">S31</f>
        <v>1462.0338245135358</v>
      </c>
      <c r="B31" s="112"/>
      <c r="C31" s="119" t="s">
        <v>26</v>
      </c>
      <c r="D31" s="150"/>
      <c r="E31" s="150"/>
      <c r="F31" s="150"/>
      <c r="G31" s="150"/>
      <c r="H31" s="93"/>
      <c r="I31" s="93"/>
      <c r="J31" s="93"/>
      <c r="K31" s="93"/>
      <c r="L31" s="93"/>
      <c r="M31" s="93"/>
      <c r="N31" s="93"/>
      <c r="O31" s="160" t="s">
        <v>176</v>
      </c>
      <c r="P31" s="160" t="s">
        <v>180</v>
      </c>
      <c r="Q31" s="159"/>
      <c r="R31" s="159"/>
      <c r="S31" s="159" cm="1">
        <f t="array" aca="1" ref="S31" ca="1">IF($O31="Y",VLOOKUP($P31,INDIRECT($P$3),S$7,0)*INDIRECT($P$2),VLOOKUP($P31,INDIRECT($P$3),S$7,0))</f>
        <v>1462.0338245135358</v>
      </c>
      <c r="T31" s="152"/>
      <c r="U31" s="154"/>
      <c r="V31" s="154"/>
      <c r="W31" s="152"/>
      <c r="X31" s="152"/>
      <c r="Y31" s="167" t="str">
        <f t="shared" si="27"/>
        <v>Y</v>
      </c>
      <c r="Z31" s="167" t="str">
        <f t="shared" si="27"/>
        <v>Long20</v>
      </c>
      <c r="AA31" s="168"/>
      <c r="AB31" s="167"/>
      <c r="AC31" s="169">
        <f t="shared" ca="1" si="28"/>
        <v>0.70299999999999996</v>
      </c>
      <c r="AD31" s="170"/>
      <c r="AE31" s="170"/>
      <c r="AF31" s="170"/>
      <c r="AG31" s="170"/>
      <c r="AH31" s="170"/>
    </row>
    <row r="32" spans="1:34" s="125" customFormat="1">
      <c r="A32" s="128">
        <f ca="1">S32</f>
        <v>1721.6011862229525</v>
      </c>
      <c r="B32" s="112"/>
      <c r="C32" s="119" t="s">
        <v>27</v>
      </c>
      <c r="D32" s="105"/>
      <c r="E32" s="104"/>
      <c r="F32" s="104"/>
      <c r="G32" s="93"/>
      <c r="H32" s="93"/>
      <c r="I32" s="93"/>
      <c r="J32" s="93"/>
      <c r="K32" s="93"/>
      <c r="L32" s="93"/>
      <c r="M32" s="93"/>
      <c r="N32" s="93"/>
      <c r="O32" s="160" t="s">
        <v>176</v>
      </c>
      <c r="P32" s="160" t="s">
        <v>181</v>
      </c>
      <c r="Q32" s="159"/>
      <c r="R32" s="159"/>
      <c r="S32" s="159" cm="1">
        <f t="array" aca="1" ref="S32" ca="1">IF($O32="Y",VLOOKUP($P32,INDIRECT($P$3),S$7,0)*INDIRECT($P$2),VLOOKUP($P32,INDIRECT($P$3),S$7,0))</f>
        <v>1721.6011862229525</v>
      </c>
      <c r="T32" s="152"/>
      <c r="U32" s="154"/>
      <c r="V32" s="154"/>
      <c r="W32" s="152"/>
      <c r="X32" s="152"/>
      <c r="Y32" s="167" t="str">
        <f t="shared" si="27"/>
        <v>Y</v>
      </c>
      <c r="Z32" s="167" t="str">
        <f t="shared" si="27"/>
        <v>Long25</v>
      </c>
      <c r="AA32" s="168"/>
      <c r="AB32" s="167"/>
      <c r="AC32" s="169">
        <f t="shared" ca="1" si="28"/>
        <v>0.82799999999999996</v>
      </c>
      <c r="AD32" s="170"/>
      <c r="AE32" s="170"/>
      <c r="AF32" s="170"/>
      <c r="AG32" s="170"/>
      <c r="AH32" s="170"/>
    </row>
    <row r="33" spans="1:34" s="125" customFormat="1">
      <c r="A33" s="104"/>
      <c r="B33" s="104"/>
      <c r="C33" s="104"/>
      <c r="D33" s="105"/>
      <c r="E33" s="104"/>
      <c r="F33" s="104"/>
      <c r="G33" s="93"/>
      <c r="H33" s="93"/>
      <c r="I33" s="93"/>
      <c r="J33" s="93"/>
      <c r="K33" s="93"/>
      <c r="L33" s="93"/>
      <c r="M33" s="93"/>
      <c r="N33" s="93"/>
      <c r="O33" s="152"/>
      <c r="P33" s="160"/>
      <c r="Q33" s="152"/>
      <c r="R33" s="152"/>
      <c r="S33" s="152"/>
      <c r="T33" s="152"/>
      <c r="U33" s="154"/>
      <c r="V33" s="154"/>
      <c r="W33" s="152"/>
      <c r="X33" s="152"/>
      <c r="Y33" s="170"/>
      <c r="Z33" s="170"/>
      <c r="AA33" s="171"/>
      <c r="AB33" s="170"/>
      <c r="AC33" s="170"/>
      <c r="AD33" s="170"/>
      <c r="AE33" s="170"/>
      <c r="AF33" s="170"/>
      <c r="AG33" s="170"/>
      <c r="AH33" s="170"/>
    </row>
    <row r="34" spans="1:34" s="125" customFormat="1">
      <c r="A34" s="93" t="s">
        <v>185</v>
      </c>
      <c r="B34" s="112"/>
      <c r="C34" s="93"/>
      <c r="D34" s="93"/>
      <c r="E34" s="93"/>
      <c r="F34" s="93"/>
      <c r="G34" s="93"/>
      <c r="H34" s="93"/>
      <c r="I34" s="93"/>
      <c r="J34" s="93"/>
      <c r="K34" s="93"/>
      <c r="L34" s="93"/>
      <c r="M34" s="93"/>
      <c r="N34" s="93"/>
      <c r="O34" s="152"/>
      <c r="P34" s="160"/>
      <c r="Q34" s="152"/>
      <c r="R34" s="152"/>
      <c r="S34" s="152"/>
      <c r="T34" s="152"/>
      <c r="U34" s="154"/>
      <c r="V34" s="154"/>
      <c r="W34" s="152"/>
      <c r="X34" s="152"/>
      <c r="Y34" s="170"/>
      <c r="Z34" s="170"/>
      <c r="AA34" s="171"/>
      <c r="AB34" s="170"/>
      <c r="AC34" s="170"/>
      <c r="AD34" s="170"/>
      <c r="AE34" s="170"/>
      <c r="AF34" s="170"/>
      <c r="AG34" s="170"/>
      <c r="AH34" s="170"/>
    </row>
    <row r="41" spans="1:34">
      <c r="A41" s="177" t="str">
        <f>A7</f>
        <v>Last updated August 11, 2025</v>
      </c>
      <c r="M41" s="93" t="s">
        <v>201</v>
      </c>
    </row>
  </sheetData>
  <sortState xmlns:xlrd2="http://schemas.microsoft.com/office/spreadsheetml/2017/richdata2" ref="A10:AH21">
    <sortCondition ref="D10:D21"/>
  </sortState>
  <mergeCells count="3">
    <mergeCell ref="A2:L2"/>
    <mergeCell ref="H3:I3"/>
    <mergeCell ref="A5:C5"/>
  </mergeCells>
  <pageMargins left="0.25" right="0.25" top="1" bottom="0.5" header="0.5" footer="0.5"/>
  <pageSetup scale="96" orientation="landscape"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23ACA-81A2-4E04-84FF-0A967DEF8562}">
  <dimension ref="A1:AI41"/>
  <sheetViews>
    <sheetView showGridLines="0" tabSelected="1" zoomScaleNormal="100" workbookViewId="0">
      <selection activeCell="O1" sqref="O1:AI1048576"/>
    </sheetView>
  </sheetViews>
  <sheetFormatPr defaultColWidth="9.265625" defaultRowHeight="13.15"/>
  <cols>
    <col min="1" max="1" width="10" style="93" customWidth="1"/>
    <col min="2" max="2" width="8.265625" style="112" bestFit="1" customWidth="1"/>
    <col min="3" max="3" width="9" style="93" customWidth="1"/>
    <col min="4" max="4" width="30.265625" style="93" bestFit="1" customWidth="1"/>
    <col min="5" max="6" width="5.73046875" style="93" bestFit="1" customWidth="1"/>
    <col min="7" max="7" width="4.73046875" style="93" bestFit="1" customWidth="1"/>
    <col min="8" max="8" width="11.73046875" style="93" customWidth="1"/>
    <col min="9" max="9" width="10.265625" style="93" customWidth="1"/>
    <col min="10" max="10" width="9.73046875" style="93" customWidth="1"/>
    <col min="11" max="12" width="10.59765625" style="93" customWidth="1"/>
    <col min="13" max="13" width="10" style="93" bestFit="1" customWidth="1"/>
    <col min="14" max="14" width="9.265625" style="93" customWidth="1"/>
    <col min="15" max="15" width="10.265625" style="152" hidden="1" customWidth="1"/>
    <col min="16" max="16" width="13.59765625" style="160" hidden="1" customWidth="1"/>
    <col min="17" max="17" width="30.265625" style="152" hidden="1" customWidth="1"/>
    <col min="18" max="18" width="5.3984375" style="152" hidden="1" customWidth="1"/>
    <col min="19" max="20" width="8.3984375" style="152" hidden="1" customWidth="1"/>
    <col min="21" max="22" width="8.3984375" style="154" hidden="1" customWidth="1"/>
    <col min="23" max="24" width="8.3984375" style="152" hidden="1" customWidth="1"/>
    <col min="25" max="25" width="10.3984375" style="162" hidden="1" customWidth="1"/>
    <col min="26" max="26" width="7.73046875" style="162" hidden="1" customWidth="1"/>
    <col min="27" max="27" width="30.265625" style="163" hidden="1" customWidth="1"/>
    <col min="28" max="28" width="8.265625" style="162" hidden="1" customWidth="1"/>
    <col min="29" max="34" width="7.3984375" style="162" hidden="1" customWidth="1"/>
    <col min="35" max="35" width="0" style="93" hidden="1" customWidth="1"/>
    <col min="36" max="16384" width="9.265625" style="93"/>
  </cols>
  <sheetData>
    <row r="1" spans="1:35" ht="23.25">
      <c r="A1" s="179" t="s">
        <v>199</v>
      </c>
    </row>
    <row r="2" spans="1:35" ht="21">
      <c r="A2" s="187" t="s">
        <v>0</v>
      </c>
      <c r="B2" s="187"/>
      <c r="C2" s="187"/>
      <c r="D2" s="187"/>
      <c r="E2" s="187"/>
      <c r="F2" s="187"/>
      <c r="G2" s="187"/>
      <c r="H2" s="187"/>
      <c r="I2" s="187"/>
      <c r="J2" s="187"/>
      <c r="K2" s="187"/>
      <c r="L2" s="187"/>
      <c r="P2" s="160" t="s">
        <v>207</v>
      </c>
      <c r="Q2" s="181">
        <v>1.04</v>
      </c>
    </row>
    <row r="3" spans="1:35">
      <c r="A3" s="94"/>
      <c r="B3" s="95"/>
      <c r="C3" s="96"/>
      <c r="D3" s="95"/>
      <c r="E3" s="95"/>
      <c r="F3" s="178"/>
      <c r="G3" s="178"/>
      <c r="H3" s="188"/>
      <c r="I3" s="188"/>
      <c r="J3" s="178"/>
      <c r="K3" s="178"/>
      <c r="L3" s="178"/>
      <c r="P3" s="160" t="s">
        <v>206</v>
      </c>
      <c r="Q3" s="181"/>
    </row>
    <row r="4" spans="1:35">
      <c r="A4" s="94" t="s">
        <v>1</v>
      </c>
      <c r="B4" s="178"/>
      <c r="C4" s="94"/>
      <c r="D4" s="178"/>
      <c r="E4" s="178"/>
      <c r="F4" s="178"/>
      <c r="G4" s="178"/>
      <c r="H4" s="178"/>
      <c r="I4" s="178"/>
      <c r="J4" s="178"/>
      <c r="K4" s="178"/>
      <c r="L4" s="178"/>
      <c r="P4" s="160" t="s">
        <v>208</v>
      </c>
      <c r="Q4" s="181">
        <v>1.0149999999999999</v>
      </c>
    </row>
    <row r="5" spans="1:35">
      <c r="A5" s="189" t="s">
        <v>210</v>
      </c>
      <c r="B5" s="189"/>
      <c r="C5" s="189"/>
      <c r="D5" s="98"/>
      <c r="E5" s="98"/>
      <c r="F5" s="98"/>
      <c r="G5" s="98"/>
      <c r="H5" s="98"/>
      <c r="I5" s="178"/>
      <c r="J5" s="178"/>
      <c r="K5" s="178"/>
      <c r="L5" s="178"/>
    </row>
    <row r="6" spans="1:35">
      <c r="A6" s="151" t="str">
        <f>TEXT(Q2-1,"#.00%")&amp;" Increase"</f>
        <v>4.00% Increase</v>
      </c>
      <c r="C6" s="151" t="s">
        <v>212</v>
      </c>
      <c r="D6" s="178"/>
      <c r="E6" s="178"/>
      <c r="F6" s="178"/>
      <c r="G6" s="178"/>
      <c r="H6" s="178"/>
      <c r="I6" s="178"/>
      <c r="J6" s="178"/>
      <c r="K6" s="178"/>
      <c r="L6" s="178"/>
    </row>
    <row r="7" spans="1:35">
      <c r="A7" s="96" t="s">
        <v>211</v>
      </c>
      <c r="B7" s="94"/>
      <c r="C7" s="94"/>
      <c r="D7" s="178"/>
      <c r="E7" s="178"/>
      <c r="F7" s="178"/>
      <c r="G7" s="178"/>
      <c r="H7" s="178"/>
      <c r="I7" s="178"/>
      <c r="J7" s="178"/>
      <c r="K7" s="178"/>
      <c r="L7" s="178"/>
      <c r="S7" s="161">
        <v>4</v>
      </c>
      <c r="T7" s="161">
        <v>5</v>
      </c>
      <c r="U7" s="161">
        <v>6</v>
      </c>
      <c r="V7" s="161">
        <v>7</v>
      </c>
      <c r="W7" s="161">
        <v>8</v>
      </c>
      <c r="X7" s="161">
        <v>9</v>
      </c>
    </row>
    <row r="8" spans="1:35">
      <c r="A8" s="94"/>
      <c r="B8" s="94"/>
      <c r="C8" s="94"/>
      <c r="D8" s="178"/>
      <c r="E8" s="178"/>
      <c r="F8" s="178"/>
      <c r="G8" s="178"/>
      <c r="H8" s="178"/>
      <c r="I8" s="178"/>
      <c r="J8" s="178"/>
      <c r="K8" s="178"/>
      <c r="L8" s="178"/>
      <c r="M8" s="141">
        <v>34.525197001003797</v>
      </c>
      <c r="O8" s="174" t="s">
        <v>197</v>
      </c>
      <c r="Y8" s="175" t="s">
        <v>196</v>
      </c>
    </row>
    <row r="9" spans="1:35" ht="30.75" customHeight="1" thickBot="1">
      <c r="A9" s="126" t="s">
        <v>36</v>
      </c>
      <c r="B9" s="126" t="s">
        <v>37</v>
      </c>
      <c r="C9" s="126" t="s">
        <v>2</v>
      </c>
      <c r="D9" s="126" t="s">
        <v>38</v>
      </c>
      <c r="E9" s="126" t="s">
        <v>39</v>
      </c>
      <c r="F9" s="126" t="s">
        <v>40</v>
      </c>
      <c r="G9" s="127" t="s">
        <v>131</v>
      </c>
      <c r="H9" s="102" t="s">
        <v>41</v>
      </c>
      <c r="I9" s="102" t="s">
        <v>42</v>
      </c>
      <c r="J9" s="102" t="s">
        <v>43</v>
      </c>
      <c r="K9" s="102" t="s">
        <v>44</v>
      </c>
      <c r="L9" s="102" t="s">
        <v>45</v>
      </c>
      <c r="M9" s="102" t="s">
        <v>46</v>
      </c>
      <c r="N9" s="103"/>
      <c r="O9" s="156" t="s">
        <v>175</v>
      </c>
      <c r="P9" s="155" t="s">
        <v>36</v>
      </c>
      <c r="Q9" s="155" t="s">
        <v>38</v>
      </c>
      <c r="R9" s="155" t="s">
        <v>37</v>
      </c>
      <c r="S9" s="156" t="s">
        <v>41</v>
      </c>
      <c r="T9" s="156" t="s">
        <v>42</v>
      </c>
      <c r="U9" s="156" t="s">
        <v>43</v>
      </c>
      <c r="V9" s="156" t="s">
        <v>44</v>
      </c>
      <c r="W9" s="156" t="s">
        <v>45</v>
      </c>
      <c r="X9" s="156" t="s">
        <v>46</v>
      </c>
      <c r="Y9" s="164" t="s">
        <v>175</v>
      </c>
      <c r="Z9" s="165" t="s">
        <v>36</v>
      </c>
      <c r="AA9" s="166" t="s">
        <v>38</v>
      </c>
      <c r="AB9" s="165" t="s">
        <v>37</v>
      </c>
      <c r="AC9" s="164" t="s">
        <v>41</v>
      </c>
      <c r="AD9" s="164" t="s">
        <v>42</v>
      </c>
      <c r="AE9" s="164" t="s">
        <v>43</v>
      </c>
      <c r="AF9" s="164" t="s">
        <v>44</v>
      </c>
      <c r="AG9" s="164" t="s">
        <v>45</v>
      </c>
      <c r="AH9" s="164" t="s">
        <v>46</v>
      </c>
    </row>
    <row r="10" spans="1:35" ht="12.75" customHeight="1" thickTop="1">
      <c r="A10" s="104" t="s">
        <v>8</v>
      </c>
      <c r="B10" s="138" t="s">
        <v>159</v>
      </c>
      <c r="C10" s="104" t="s">
        <v>48</v>
      </c>
      <c r="D10" s="105" t="s">
        <v>99</v>
      </c>
      <c r="E10" s="104">
        <v>395</v>
      </c>
      <c r="F10" s="104">
        <v>8</v>
      </c>
      <c r="G10" s="93" t="s">
        <v>6</v>
      </c>
      <c r="H10" s="106">
        <f t="shared" ref="H10:M21" ca="1" si="0">S10</f>
        <v>82027.858788177837</v>
      </c>
      <c r="I10" s="106">
        <f t="shared" ca="1" si="0"/>
        <v>85304.24115648774</v>
      </c>
      <c r="J10" s="106">
        <f t="shared" ca="1" si="0"/>
        <v>88711.678819530032</v>
      </c>
      <c r="K10" s="106">
        <f t="shared" ca="1" si="0"/>
        <v>92255.413989093984</v>
      </c>
      <c r="L10" s="106">
        <f t="shared" ca="1" si="0"/>
        <v>95940.898565440511</v>
      </c>
      <c r="M10" s="106">
        <f t="shared" ca="1" si="0"/>
        <v>99773.802524840881</v>
      </c>
      <c r="N10" s="106"/>
      <c r="O10" s="157" t="s">
        <v>176</v>
      </c>
      <c r="P10" s="160" t="str">
        <f t="shared" ref="P10:P21" si="1">A10</f>
        <v>03960C</v>
      </c>
      <c r="Q10" s="152" t="str">
        <f t="shared" ref="Q10:Q21" si="2">D10</f>
        <v>Engineer</v>
      </c>
      <c r="R10" s="158" t="str">
        <f t="shared" ref="R10:R21" si="3">B10</f>
        <v>13</v>
      </c>
      <c r="S10" s="159" cm="1">
        <f t="array" aca="1" ref="S10" ca="1">IF($O10="Y",VLOOKUP($P10,INDIRECT($P$3),S$7,0)*INDIRECT($P$2),VLOOKUP($P10,INDIRECT($P$3),S$7,0))*$Q$4</f>
        <v>82027.858788177837</v>
      </c>
      <c r="T10" s="159" cm="1">
        <f t="array" aca="1" ref="T10" ca="1">IF($O10="Y",VLOOKUP($P10,INDIRECT($P$3),T$7,0)*INDIRECT($P$2),VLOOKUP($P10,INDIRECT($P$3),T$7,0))*$Q$4</f>
        <v>85304.24115648774</v>
      </c>
      <c r="U10" s="159" cm="1">
        <f t="array" aca="1" ref="U10" ca="1">IF($O10="Y",VLOOKUP($P10,INDIRECT($P$3),U$7,0)*INDIRECT($P$2),VLOOKUP($P10,INDIRECT($P$3),U$7,0))*$Q$4</f>
        <v>88711.678819530032</v>
      </c>
      <c r="V10" s="159" cm="1">
        <f t="array" aca="1" ref="V10" ca="1">IF($O10="Y",VLOOKUP($P10,INDIRECT($P$3),V$7,0)*INDIRECT($P$2),VLOOKUP($P10,INDIRECT($P$3),V$7,0))*$Q$4</f>
        <v>92255.413989093984</v>
      </c>
      <c r="W10" s="159" cm="1">
        <f t="array" aca="1" ref="W10" ca="1">IF($O10="Y",VLOOKUP($P10,INDIRECT($P$3),W$7,0)*INDIRECT($P$2),VLOOKUP($P10,INDIRECT($P$3),W$7,0))*$Q$4</f>
        <v>95940.898565440511</v>
      </c>
      <c r="X10" s="159" cm="1">
        <f t="array" aca="1" ref="X10" ca="1">IF($O10="Y",VLOOKUP($P10,INDIRECT($P$3),X$7,0)*INDIRECT($P$2),VLOOKUP($P10,INDIRECT($P$3),X$7,0))*$Q$4</f>
        <v>99773.802524840881</v>
      </c>
      <c r="Y10" s="167" t="str">
        <f t="shared" ref="Y10:AB21" si="4">O10</f>
        <v>Y</v>
      </c>
      <c r="Z10" s="167" t="str">
        <f t="shared" si="4"/>
        <v>03960C</v>
      </c>
      <c r="AA10" s="168" t="str">
        <f t="shared" si="4"/>
        <v>Engineer</v>
      </c>
      <c r="AB10" s="167" t="str">
        <f t="shared" si="4"/>
        <v>13</v>
      </c>
      <c r="AC10" s="169">
        <f t="shared" ref="AC10:AH21" ca="1" si="5">ROUND(S10/2080,3)</f>
        <v>39.436</v>
      </c>
      <c r="AD10" s="169">
        <f t="shared" ca="1" si="5"/>
        <v>41.012</v>
      </c>
      <c r="AE10" s="169">
        <f t="shared" ca="1" si="5"/>
        <v>42.65</v>
      </c>
      <c r="AF10" s="169">
        <f t="shared" ca="1" si="5"/>
        <v>44.353999999999999</v>
      </c>
      <c r="AG10" s="169">
        <f t="shared" ca="1" si="5"/>
        <v>46.125</v>
      </c>
      <c r="AH10" s="169">
        <f t="shared" ca="1" si="5"/>
        <v>47.968000000000004</v>
      </c>
      <c r="AI10" s="182">
        <f ca="1">AH10/'1-1-2025'!AH10</f>
        <v>1.0555873421064215</v>
      </c>
    </row>
    <row r="11" spans="1:35" ht="12.75" customHeight="1">
      <c r="A11" s="104" t="s">
        <v>78</v>
      </c>
      <c r="B11" s="138" t="s">
        <v>160</v>
      </c>
      <c r="C11" s="104" t="s">
        <v>48</v>
      </c>
      <c r="D11" s="105" t="s">
        <v>92</v>
      </c>
      <c r="E11" s="104">
        <v>470</v>
      </c>
      <c r="F11" s="104">
        <v>10</v>
      </c>
      <c r="G11" s="93" t="s">
        <v>6</v>
      </c>
      <c r="H11" s="106">
        <f ca="1">S11</f>
        <v>104854.09151355895</v>
      </c>
      <c r="I11" s="106">
        <f t="shared" ca="1" si="0"/>
        <v>110102.41580815527</v>
      </c>
      <c r="J11" s="106">
        <f t="shared" ca="1" si="0"/>
        <v>115603.51746158168</v>
      </c>
      <c r="K11" s="106">
        <f t="shared" ca="1" si="0"/>
        <v>121358.9795019419</v>
      </c>
      <c r="L11" s="106">
        <f t="shared" ca="1" si="0"/>
        <v>127346.93187668303</v>
      </c>
      <c r="M11" s="106"/>
      <c r="N11" s="106"/>
      <c r="O11" s="157" t="s">
        <v>176</v>
      </c>
      <c r="P11" s="160" t="str">
        <f t="shared" si="1"/>
        <v>04106C</v>
      </c>
      <c r="Q11" s="152" t="str">
        <f t="shared" si="2"/>
        <v xml:space="preserve">Environmental Engineer </v>
      </c>
      <c r="R11" s="158" t="str">
        <f t="shared" si="3"/>
        <v>01</v>
      </c>
      <c r="S11" s="159" cm="1">
        <f t="array" aca="1" ref="S11" ca="1">IF($O11="Y",VLOOKUP($P11,INDIRECT($P$3),T$7,0)*INDIRECT($P$2),VLOOKUP($P11,INDIRECT($P$3),T$7,0))*$Q$4</f>
        <v>104854.09151355895</v>
      </c>
      <c r="T11" s="159" cm="1">
        <f t="array" aca="1" ref="T11" ca="1">IF($O11="Y",VLOOKUP($P11,INDIRECT($P$3),U$7,0)*INDIRECT($P$2),VLOOKUP($P11,INDIRECT($P$3),U$7,0))*$Q$4</f>
        <v>110102.41580815527</v>
      </c>
      <c r="U11" s="159" cm="1">
        <f t="array" aca="1" ref="U11" ca="1">IF($O11="Y",VLOOKUP($P11,INDIRECT($P$3),V$7,0)*INDIRECT($P$2),VLOOKUP($P11,INDIRECT($P$3),V$7,0))*$Q$4</f>
        <v>115603.51746158168</v>
      </c>
      <c r="V11" s="159" cm="1">
        <f t="array" aca="1" ref="V11" ca="1">IF($O11="Y",VLOOKUP($P11,INDIRECT($P$3),W$7,0)*INDIRECT($P$2),VLOOKUP($P11,INDIRECT($P$3),W$7,0))*$Q$4</f>
        <v>121358.9795019419</v>
      </c>
      <c r="W11" s="159" cm="1">
        <f t="array" aca="1" ref="W11" ca="1">IF($O11="Y",VLOOKUP($P11,INDIRECT($P$3),X$7,0)*INDIRECT($P$2),VLOOKUP($P11,INDIRECT($P$3),X$7,0))*$Q$4</f>
        <v>127346.93187668303</v>
      </c>
      <c r="Y11" s="167" t="str">
        <f t="shared" si="4"/>
        <v>Y</v>
      </c>
      <c r="Z11" s="167" t="str">
        <f t="shared" si="4"/>
        <v>04106C</v>
      </c>
      <c r="AA11" s="168" t="str">
        <f t="shared" si="4"/>
        <v xml:space="preserve">Environmental Engineer </v>
      </c>
      <c r="AB11" s="167" t="str">
        <f t="shared" si="4"/>
        <v>01</v>
      </c>
      <c r="AC11" s="169">
        <f t="shared" ref="AC11:AG14" ca="1" si="6">ROUND(S11/2080,3)</f>
        <v>50.411000000000001</v>
      </c>
      <c r="AD11" s="169">
        <f t="shared" ca="1" si="6"/>
        <v>52.933999999999997</v>
      </c>
      <c r="AE11" s="169">
        <f t="shared" ca="1" si="6"/>
        <v>55.579000000000001</v>
      </c>
      <c r="AF11" s="169">
        <f t="shared" ca="1" si="6"/>
        <v>58.345999999999997</v>
      </c>
      <c r="AG11" s="169">
        <f t="shared" ca="1" si="6"/>
        <v>61.223999999999997</v>
      </c>
      <c r="AI11" s="182">
        <f ca="1">AG11/'1-1-2025'!AH11</f>
        <v>1.0555862068965516</v>
      </c>
    </row>
    <row r="12" spans="1:35">
      <c r="A12" s="104" t="s">
        <v>13</v>
      </c>
      <c r="B12" s="138" t="s">
        <v>160</v>
      </c>
      <c r="C12" s="104" t="s">
        <v>48</v>
      </c>
      <c r="D12" s="105" t="s">
        <v>100</v>
      </c>
      <c r="E12" s="104">
        <v>470</v>
      </c>
      <c r="F12" s="104">
        <v>10</v>
      </c>
      <c r="G12" s="93" t="s">
        <v>6</v>
      </c>
      <c r="H12" s="106">
        <f ca="1">S12</f>
        <v>104854.09151355895</v>
      </c>
      <c r="I12" s="106">
        <f t="shared" ca="1" si="0"/>
        <v>110102.41580815527</v>
      </c>
      <c r="J12" s="106">
        <f t="shared" ca="1" si="0"/>
        <v>115603.51746158168</v>
      </c>
      <c r="K12" s="106">
        <f t="shared" ca="1" si="0"/>
        <v>121358.9795019419</v>
      </c>
      <c r="L12" s="106">
        <f t="shared" ca="1" si="0"/>
        <v>127346.93187668303</v>
      </c>
      <c r="M12" s="106"/>
      <c r="N12" s="106"/>
      <c r="O12" s="157" t="s">
        <v>176</v>
      </c>
      <c r="P12" s="160" t="str">
        <f t="shared" si="1"/>
        <v>07890C</v>
      </c>
      <c r="Q12" s="152" t="str">
        <f t="shared" si="2"/>
        <v>Plan Examiner II Engineer</v>
      </c>
      <c r="R12" s="158" t="str">
        <f t="shared" si="3"/>
        <v>01</v>
      </c>
      <c r="S12" s="159" cm="1">
        <f t="array" aca="1" ref="S12" ca="1">IF($O12="Y",VLOOKUP($P12,INDIRECT($P$3),T$7,0)*INDIRECT($P$2),VLOOKUP($P12,INDIRECT($P$3),T$7,0))*$Q$4</f>
        <v>104854.09151355895</v>
      </c>
      <c r="T12" s="159" cm="1">
        <f t="array" aca="1" ref="T12" ca="1">IF($O12="Y",VLOOKUP($P12,INDIRECT($P$3),U$7,0)*INDIRECT($P$2),VLOOKUP($P12,INDIRECT($P$3),U$7,0))*$Q$4</f>
        <v>110102.41580815527</v>
      </c>
      <c r="U12" s="159" cm="1">
        <f t="array" aca="1" ref="U12" ca="1">IF($O12="Y",VLOOKUP($P12,INDIRECT($P$3),V$7,0)*INDIRECT($P$2),VLOOKUP($P12,INDIRECT($P$3),V$7,0))*$Q$4</f>
        <v>115603.51746158168</v>
      </c>
      <c r="V12" s="159" cm="1">
        <f t="array" aca="1" ref="V12" ca="1">IF($O12="Y",VLOOKUP($P12,INDIRECT($P$3),W$7,0)*INDIRECT($P$2),VLOOKUP($P12,INDIRECT($P$3),W$7,0))*$Q$4</f>
        <v>121358.9795019419</v>
      </c>
      <c r="W12" s="159" cm="1">
        <f t="array" aca="1" ref="W12" ca="1">IF($O12="Y",VLOOKUP($P12,INDIRECT($P$3),X$7,0)*INDIRECT($P$2),VLOOKUP($P12,INDIRECT($P$3),X$7,0))*$Q$4</f>
        <v>127346.93187668303</v>
      </c>
      <c r="Y12" s="167" t="str">
        <f t="shared" si="4"/>
        <v>Y</v>
      </c>
      <c r="Z12" s="167" t="str">
        <f t="shared" si="4"/>
        <v>07890C</v>
      </c>
      <c r="AA12" s="168" t="str">
        <f t="shared" si="4"/>
        <v>Plan Examiner II Engineer</v>
      </c>
      <c r="AB12" s="167" t="str">
        <f t="shared" si="4"/>
        <v>01</v>
      </c>
      <c r="AC12" s="169">
        <f t="shared" ca="1" si="6"/>
        <v>50.411000000000001</v>
      </c>
      <c r="AD12" s="169">
        <f t="shared" ca="1" si="6"/>
        <v>52.933999999999997</v>
      </c>
      <c r="AE12" s="169">
        <f t="shared" ca="1" si="6"/>
        <v>55.579000000000001</v>
      </c>
      <c r="AF12" s="169">
        <f t="shared" ca="1" si="6"/>
        <v>58.345999999999997</v>
      </c>
      <c r="AG12" s="169">
        <f t="shared" ca="1" si="6"/>
        <v>61.223999999999997</v>
      </c>
      <c r="AI12" s="182">
        <f ca="1">AG12/'1-1-2025'!AH12</f>
        <v>1.0555862068965516</v>
      </c>
    </row>
    <row r="13" spans="1:35">
      <c r="A13" s="104" t="s">
        <v>9</v>
      </c>
      <c r="B13" s="138" t="s">
        <v>161</v>
      </c>
      <c r="C13" s="104" t="s">
        <v>48</v>
      </c>
      <c r="D13" s="105" t="s">
        <v>101</v>
      </c>
      <c r="E13" s="104">
        <v>578</v>
      </c>
      <c r="F13" s="104">
        <v>12</v>
      </c>
      <c r="G13" s="93" t="s">
        <v>6</v>
      </c>
      <c r="H13" s="106">
        <f ca="1">S13</f>
        <v>119873.88631869196</v>
      </c>
      <c r="I13" s="106">
        <f ca="1">T13</f>
        <v>125850.66639729544</v>
      </c>
      <c r="J13" s="106">
        <f ca="1">U13</f>
        <v>132157.42267599294</v>
      </c>
      <c r="K13" s="106">
        <f ca="1">V13</f>
        <v>138755.42847038704</v>
      </c>
      <c r="L13" s="106">
        <f ca="1">W13</f>
        <v>145683.4120140665</v>
      </c>
      <c r="M13" s="106">
        <f ca="1">X13</f>
        <v>152872.72307072437</v>
      </c>
      <c r="N13" s="106"/>
      <c r="O13" s="157" t="s">
        <v>176</v>
      </c>
      <c r="P13" s="160" t="str">
        <f t="shared" si="1"/>
        <v>04000C</v>
      </c>
      <c r="Q13" s="152" t="str">
        <f t="shared" si="2"/>
        <v>Principal Professional Engr</v>
      </c>
      <c r="R13" s="158" t="str">
        <f t="shared" si="3"/>
        <v>04</v>
      </c>
      <c r="S13" s="159" cm="1">
        <f t="array" aca="1" ref="S13" ca="1">IF($O13="Y",VLOOKUP($P13,INDIRECT($P$3),S$7,0)*INDIRECT($P$2),VLOOKUP($P13,INDIRECT($P$3),S$7,0))*$Q$4</f>
        <v>119873.88631869196</v>
      </c>
      <c r="T13" s="159" cm="1">
        <f t="array" aca="1" ref="T13" ca="1">IF($O13="Y",VLOOKUP($P13,INDIRECT($P$3),T$7,0)*INDIRECT($P$2),VLOOKUP($P13,INDIRECT($P$3),T$7,0))*$Q$4</f>
        <v>125850.66639729544</v>
      </c>
      <c r="U13" s="159" cm="1">
        <f t="array" aca="1" ref="U13" ca="1">IF($O13="Y",VLOOKUP($P13,INDIRECT($P$3),U$7,0)*INDIRECT($P$2),VLOOKUP($P13,INDIRECT($P$3),U$7,0))*$Q$4</f>
        <v>132157.42267599294</v>
      </c>
      <c r="V13" s="159" cm="1">
        <f t="array" aca="1" ref="V13" ca="1">IF($O13="Y",VLOOKUP($P13,INDIRECT($P$3),V$7,0)*INDIRECT($P$2),VLOOKUP($P13,INDIRECT($P$3),V$7,0))*$Q$4</f>
        <v>138755.42847038704</v>
      </c>
      <c r="W13" s="159" cm="1">
        <f t="array" aca="1" ref="W13" ca="1">IF($O13="Y",VLOOKUP($P13,INDIRECT($P$3),W$7,0)*INDIRECT($P$2),VLOOKUP($P13,INDIRECT($P$3),W$7,0))*$Q$4</f>
        <v>145683.4120140665</v>
      </c>
      <c r="X13" s="159" cm="1">
        <f t="array" aca="1" ref="X13" ca="1">IF($O13="Y",VLOOKUP($P13,INDIRECT($P$3),X$7,0)*INDIRECT($P$2),VLOOKUP($P13,INDIRECT($P$3),X$7,0))*$Q$4</f>
        <v>152872.72307072437</v>
      </c>
      <c r="Y13" s="167" t="str">
        <f t="shared" si="4"/>
        <v>Y</v>
      </c>
      <c r="Z13" s="167" t="str">
        <f t="shared" si="4"/>
        <v>04000C</v>
      </c>
      <c r="AA13" s="168" t="str">
        <f t="shared" si="4"/>
        <v>Principal Professional Engr</v>
      </c>
      <c r="AB13" s="167" t="str">
        <f t="shared" si="4"/>
        <v>04</v>
      </c>
      <c r="AC13" s="169">
        <f t="shared" ca="1" si="6"/>
        <v>57.631999999999998</v>
      </c>
      <c r="AD13" s="169">
        <f t="shared" ca="1" si="6"/>
        <v>60.505000000000003</v>
      </c>
      <c r="AE13" s="169">
        <f t="shared" ca="1" si="6"/>
        <v>63.536999999999999</v>
      </c>
      <c r="AF13" s="169">
        <f t="shared" ca="1" si="6"/>
        <v>66.709000000000003</v>
      </c>
      <c r="AG13" s="169">
        <f t="shared" ca="1" si="6"/>
        <v>70.040000000000006</v>
      </c>
      <c r="AH13" s="169">
        <f ca="1">ROUND(X13/2080,3)</f>
        <v>73.497</v>
      </c>
      <c r="AI13" s="182">
        <f ca="1">AH13/'1-1-2025'!AH13</f>
        <v>1.0556122082585278</v>
      </c>
    </row>
    <row r="14" spans="1:35">
      <c r="A14" s="104" t="s">
        <v>10</v>
      </c>
      <c r="B14" s="138" t="s">
        <v>160</v>
      </c>
      <c r="C14" s="104" t="s">
        <v>48</v>
      </c>
      <c r="D14" s="105" t="s">
        <v>102</v>
      </c>
      <c r="E14" s="104">
        <v>485</v>
      </c>
      <c r="F14" s="104">
        <v>10</v>
      </c>
      <c r="G14" s="93" t="s">
        <v>6</v>
      </c>
      <c r="H14" s="106">
        <f ca="1">S14</f>
        <v>104854.09151355895</v>
      </c>
      <c r="I14" s="106">
        <f t="shared" ref="I14:L14" ca="1" si="7">T14</f>
        <v>110102.41580815527</v>
      </c>
      <c r="J14" s="106">
        <f t="shared" ca="1" si="7"/>
        <v>115603.51746158168</v>
      </c>
      <c r="K14" s="106">
        <f t="shared" ca="1" si="7"/>
        <v>121358.9795019419</v>
      </c>
      <c r="L14" s="106">
        <f t="shared" ca="1" si="7"/>
        <v>127346.93187668303</v>
      </c>
      <c r="M14" s="106"/>
      <c r="N14" s="106"/>
      <c r="O14" s="157" t="s">
        <v>176</v>
      </c>
      <c r="P14" s="160" t="str">
        <f t="shared" si="1"/>
        <v>03980C</v>
      </c>
      <c r="Q14" s="152" t="str">
        <f t="shared" si="2"/>
        <v>Professional Engineer</v>
      </c>
      <c r="R14" s="158" t="str">
        <f t="shared" si="3"/>
        <v>01</v>
      </c>
      <c r="S14" s="159" cm="1">
        <f t="array" aca="1" ref="S14" ca="1">IF($O14="Y",VLOOKUP($P14,INDIRECT($P$3),T$7,0)*INDIRECT($P$2),VLOOKUP($P14,INDIRECT($P$3),T$7,0))*$Q$4</f>
        <v>104854.09151355895</v>
      </c>
      <c r="T14" s="159" cm="1">
        <f t="array" aca="1" ref="T14" ca="1">IF($O14="Y",VLOOKUP($P14,INDIRECT($P$3),U$7,0)*INDIRECT($P$2),VLOOKUP($P14,INDIRECT($P$3),U$7,0))*$Q$4</f>
        <v>110102.41580815527</v>
      </c>
      <c r="U14" s="159" cm="1">
        <f t="array" aca="1" ref="U14" ca="1">IF($O14="Y",VLOOKUP($P14,INDIRECT($P$3),V$7,0)*INDIRECT($P$2),VLOOKUP($P14,INDIRECT($P$3),V$7,0))*$Q$4</f>
        <v>115603.51746158168</v>
      </c>
      <c r="V14" s="159" cm="1">
        <f t="array" aca="1" ref="V14" ca="1">IF($O14="Y",VLOOKUP($P14,INDIRECT($P$3),W$7,0)*INDIRECT($P$2),VLOOKUP($P14,INDIRECT($P$3),W$7,0))*$Q$4</f>
        <v>121358.9795019419</v>
      </c>
      <c r="W14" s="159" cm="1">
        <f t="array" aca="1" ref="W14" ca="1">IF($O14="Y",VLOOKUP($P14,INDIRECT($P$3),X$7,0)*INDIRECT($P$2),VLOOKUP($P14,INDIRECT($P$3),X$7,0))*$Q$4</f>
        <v>127346.93187668303</v>
      </c>
      <c r="Y14" s="167" t="str">
        <f t="shared" si="4"/>
        <v>Y</v>
      </c>
      <c r="Z14" s="167" t="str">
        <f t="shared" si="4"/>
        <v>03980C</v>
      </c>
      <c r="AA14" s="168" t="str">
        <f t="shared" si="4"/>
        <v>Professional Engineer</v>
      </c>
      <c r="AB14" s="167" t="str">
        <f t="shared" si="4"/>
        <v>01</v>
      </c>
      <c r="AC14" s="169">
        <f t="shared" ca="1" si="6"/>
        <v>50.411000000000001</v>
      </c>
      <c r="AD14" s="169">
        <f t="shared" ca="1" si="6"/>
        <v>52.933999999999997</v>
      </c>
      <c r="AE14" s="169">
        <f t="shared" ca="1" si="6"/>
        <v>55.579000000000001</v>
      </c>
      <c r="AF14" s="169">
        <f t="shared" ca="1" si="6"/>
        <v>58.345999999999997</v>
      </c>
      <c r="AG14" s="169">
        <f t="shared" ca="1" si="6"/>
        <v>61.223999999999997</v>
      </c>
      <c r="AI14" s="182">
        <f ca="1">AG14/'1-1-2025'!AH14</f>
        <v>1.0555862068965516</v>
      </c>
    </row>
    <row r="15" spans="1:35" ht="12.75" customHeight="1">
      <c r="A15" s="104" t="s">
        <v>11</v>
      </c>
      <c r="B15" s="138" t="s">
        <v>162</v>
      </c>
      <c r="C15" s="104" t="s">
        <v>48</v>
      </c>
      <c r="D15" s="105" t="s">
        <v>103</v>
      </c>
      <c r="E15" s="104">
        <v>523</v>
      </c>
      <c r="F15" s="104">
        <v>11</v>
      </c>
      <c r="G15" s="93" t="s">
        <v>6</v>
      </c>
      <c r="H15" s="106">
        <f t="shared" ca="1" si="0"/>
        <v>109001.66014751003</v>
      </c>
      <c r="I15" s="106">
        <f t="shared" ca="1" si="0"/>
        <v>114440.87084112769</v>
      </c>
      <c r="J15" s="106">
        <f t="shared" ca="1" si="0"/>
        <v>120165.13273600592</v>
      </c>
      <c r="K15" s="106">
        <f t="shared" ca="1" si="0"/>
        <v>126140.36362329827</v>
      </c>
      <c r="L15" s="106">
        <f t="shared" ca="1" si="0"/>
        <v>132448.67219168961</v>
      </c>
      <c r="M15" s="106">
        <f t="shared" ca="1" si="0"/>
        <v>138984.33307251718</v>
      </c>
      <c r="N15" s="106"/>
      <c r="O15" s="157" t="s">
        <v>176</v>
      </c>
      <c r="P15" s="160" t="str">
        <f t="shared" si="1"/>
        <v>03990C</v>
      </c>
      <c r="Q15" s="152" t="str">
        <f t="shared" si="2"/>
        <v>Senior Professional Engineer</v>
      </c>
      <c r="R15" s="158" t="str">
        <f t="shared" si="3"/>
        <v>02</v>
      </c>
      <c r="S15" s="159" cm="1">
        <f t="array" aca="1" ref="S15" ca="1">IF($O15="Y",VLOOKUP($P15,INDIRECT($P$3),S$7,0)*INDIRECT($P$2),VLOOKUP($P15,INDIRECT($P$3),S$7,0))*$Q$4</f>
        <v>109001.66014751003</v>
      </c>
      <c r="T15" s="159" cm="1">
        <f t="array" aca="1" ref="T15" ca="1">IF($O15="Y",VLOOKUP($P15,INDIRECT($P$3),T$7,0)*INDIRECT($P$2),VLOOKUP($P15,INDIRECT($P$3),T$7,0))*$Q$4</f>
        <v>114440.87084112769</v>
      </c>
      <c r="U15" s="159" cm="1">
        <f t="array" aca="1" ref="U15" ca="1">IF($O15="Y",VLOOKUP($P15,INDIRECT($P$3),U$7,0)*INDIRECT($P$2),VLOOKUP($P15,INDIRECT($P$3),U$7,0))*$Q$4</f>
        <v>120165.13273600592</v>
      </c>
      <c r="V15" s="159" cm="1">
        <f t="array" aca="1" ref="V15" ca="1">IF($O15="Y",VLOOKUP($P15,INDIRECT($P$3),V$7,0)*INDIRECT($P$2),VLOOKUP($P15,INDIRECT($P$3),V$7,0))*$Q$4</f>
        <v>126140.36362329827</v>
      </c>
      <c r="W15" s="159" cm="1">
        <f t="array" aca="1" ref="W15" ca="1">IF($O15="Y",VLOOKUP($P15,INDIRECT($P$3),W$7,0)*INDIRECT($P$2),VLOOKUP($P15,INDIRECT($P$3),W$7,0))*$Q$4</f>
        <v>132448.67219168961</v>
      </c>
      <c r="X15" s="159" cm="1">
        <f t="array" aca="1" ref="X15" ca="1">IF($O15="Y",VLOOKUP($P15,INDIRECT($P$3),X$7,0)*INDIRECT($P$2),VLOOKUP($P15,INDIRECT($P$3),X$7,0))*$Q$4</f>
        <v>138984.33307251718</v>
      </c>
      <c r="Y15" s="167" t="str">
        <f t="shared" si="4"/>
        <v>Y</v>
      </c>
      <c r="Z15" s="167" t="str">
        <f t="shared" si="4"/>
        <v>03990C</v>
      </c>
      <c r="AA15" s="168" t="str">
        <f t="shared" si="4"/>
        <v>Senior Professional Engineer</v>
      </c>
      <c r="AB15" s="167" t="str">
        <f t="shared" si="4"/>
        <v>02</v>
      </c>
      <c r="AC15" s="169">
        <f t="shared" ca="1" si="5"/>
        <v>52.405000000000001</v>
      </c>
      <c r="AD15" s="169">
        <f t="shared" ca="1" si="5"/>
        <v>55.02</v>
      </c>
      <c r="AE15" s="169">
        <f t="shared" ca="1" si="5"/>
        <v>57.771999999999998</v>
      </c>
      <c r="AF15" s="169">
        <f t="shared" ca="1" si="5"/>
        <v>60.643999999999998</v>
      </c>
      <c r="AG15" s="169">
        <f t="shared" ca="1" si="5"/>
        <v>63.677</v>
      </c>
      <c r="AH15" s="169">
        <f t="shared" ca="1" si="5"/>
        <v>66.819000000000003</v>
      </c>
      <c r="AI15" s="182">
        <f ca="1">AH15/'1-1-2025'!AH15</f>
        <v>1.0555924170616116</v>
      </c>
    </row>
    <row r="16" spans="1:35" ht="12.75" customHeight="1">
      <c r="A16" s="104" t="s">
        <v>203</v>
      </c>
      <c r="B16" s="138" t="s">
        <v>162</v>
      </c>
      <c r="C16" s="104" t="s">
        <v>48</v>
      </c>
      <c r="D16" s="105" t="s">
        <v>204</v>
      </c>
      <c r="E16" s="104">
        <v>508</v>
      </c>
      <c r="F16" s="104">
        <v>11</v>
      </c>
      <c r="G16" s="93" t="s">
        <v>6</v>
      </c>
      <c r="H16" s="106">
        <f t="shared" ca="1" si="0"/>
        <v>109001.66014751003</v>
      </c>
      <c r="I16" s="106">
        <f t="shared" ca="1" si="0"/>
        <v>114440.87084112769</v>
      </c>
      <c r="J16" s="106">
        <f t="shared" ca="1" si="0"/>
        <v>120165.13273600592</v>
      </c>
      <c r="K16" s="106">
        <f t="shared" ca="1" si="0"/>
        <v>126140.36362329827</v>
      </c>
      <c r="L16" s="106">
        <f t="shared" ca="1" si="0"/>
        <v>132448.67219168961</v>
      </c>
      <c r="M16" s="106">
        <f t="shared" ca="1" si="0"/>
        <v>138984.33307251718</v>
      </c>
      <c r="N16" s="106"/>
      <c r="O16" s="157" t="s">
        <v>176</v>
      </c>
      <c r="P16" s="160" t="str">
        <f t="shared" si="1"/>
        <v>59513C</v>
      </c>
      <c r="Q16" s="152" t="str">
        <f t="shared" si="2"/>
        <v>Senior Professional Electrical Engineer</v>
      </c>
      <c r="R16" s="158" t="str">
        <f t="shared" si="3"/>
        <v>02</v>
      </c>
      <c r="S16" s="159" cm="1">
        <f t="array" aca="1" ref="S16" ca="1">IF($O16="Y",VLOOKUP($P16,INDIRECT($P$3),S$7,0)*INDIRECT($P$2),VLOOKUP($P16,INDIRECT($P$3),S$7,0))*$Q$4</f>
        <v>109001.66014751003</v>
      </c>
      <c r="T16" s="159" cm="1">
        <f t="array" aca="1" ref="T16" ca="1">IF($O16="Y",VLOOKUP($P16,INDIRECT($P$3),T$7,0)*INDIRECT($P$2),VLOOKUP($P16,INDIRECT($P$3),T$7,0))*$Q$4</f>
        <v>114440.87084112769</v>
      </c>
      <c r="U16" s="159" cm="1">
        <f t="array" aca="1" ref="U16" ca="1">IF($O16="Y",VLOOKUP($P16,INDIRECT($P$3),U$7,0)*INDIRECT($P$2),VLOOKUP($P16,INDIRECT($P$3),U$7,0))*$Q$4</f>
        <v>120165.13273600592</v>
      </c>
      <c r="V16" s="159" cm="1">
        <f t="array" aca="1" ref="V16" ca="1">IF($O16="Y",VLOOKUP($P16,INDIRECT($P$3),V$7,0)*INDIRECT($P$2),VLOOKUP($P16,INDIRECT($P$3),V$7,0))*$Q$4</f>
        <v>126140.36362329827</v>
      </c>
      <c r="W16" s="159" cm="1">
        <f t="array" aca="1" ref="W16" ca="1">IF($O16="Y",VLOOKUP($P16,INDIRECT($P$3),W$7,0)*INDIRECT($P$2),VLOOKUP($P16,INDIRECT($P$3),W$7,0))*$Q$4</f>
        <v>132448.67219168961</v>
      </c>
      <c r="X16" s="159" cm="1">
        <f t="array" aca="1" ref="X16" ca="1">IF($O16="Y",VLOOKUP($P16,INDIRECT($P$3),X$7,0)*INDIRECT($P$2),VLOOKUP($P16,INDIRECT($P$3),X$7,0))*$Q$4</f>
        <v>138984.33307251718</v>
      </c>
      <c r="Y16" s="167" t="str">
        <f t="shared" si="4"/>
        <v>Y</v>
      </c>
      <c r="Z16" s="167" t="str">
        <f t="shared" si="4"/>
        <v>59513C</v>
      </c>
      <c r="AA16" s="168" t="str">
        <f t="shared" si="4"/>
        <v>Senior Professional Electrical Engineer</v>
      </c>
      <c r="AB16" s="167" t="str">
        <f t="shared" si="4"/>
        <v>02</v>
      </c>
      <c r="AC16" s="169">
        <f t="shared" ca="1" si="5"/>
        <v>52.405000000000001</v>
      </c>
      <c r="AD16" s="169">
        <f t="shared" ca="1" si="5"/>
        <v>55.02</v>
      </c>
      <c r="AE16" s="169">
        <f t="shared" ca="1" si="5"/>
        <v>57.771999999999998</v>
      </c>
      <c r="AF16" s="169">
        <f t="shared" ca="1" si="5"/>
        <v>60.643999999999998</v>
      </c>
      <c r="AG16" s="169">
        <f t="shared" ca="1" si="5"/>
        <v>63.677</v>
      </c>
      <c r="AH16" s="169">
        <f t="shared" ca="1" si="5"/>
        <v>66.819000000000003</v>
      </c>
      <c r="AI16" s="182">
        <f ca="1">AH16/'1-1-2025'!AH16</f>
        <v>1.0555924170616116</v>
      </c>
    </row>
    <row r="17" spans="1:35" ht="12.75" customHeight="1">
      <c r="A17" s="104" t="s">
        <v>172</v>
      </c>
      <c r="B17" s="138" t="s">
        <v>163</v>
      </c>
      <c r="C17" s="104" t="s">
        <v>48</v>
      </c>
      <c r="D17" s="105" t="s">
        <v>173</v>
      </c>
      <c r="E17" s="104">
        <v>625</v>
      </c>
      <c r="F17" s="104">
        <v>13</v>
      </c>
      <c r="G17" s="93" t="s">
        <v>6</v>
      </c>
      <c r="H17" s="106">
        <f t="shared" ca="1" si="0"/>
        <v>126513.7202784884</v>
      </c>
      <c r="I17" s="106">
        <f t="shared" ca="1" si="0"/>
        <v>132820.4765571859</v>
      </c>
      <c r="J17" s="106">
        <f t="shared" ca="1" si="0"/>
        <v>139460.31051698237</v>
      </c>
      <c r="K17" s="106">
        <f t="shared" ca="1" si="0"/>
        <v>146431.67296656666</v>
      </c>
      <c r="L17" s="106">
        <f t="shared" ca="1" si="0"/>
        <v>153734.560807556</v>
      </c>
      <c r="M17" s="106">
        <f t="shared" ca="1" si="0"/>
        <v>161321.50981517712</v>
      </c>
      <c r="N17" s="106"/>
      <c r="O17" s="157" t="s">
        <v>176</v>
      </c>
      <c r="P17" s="160" t="str">
        <f t="shared" si="1"/>
        <v>53044C</v>
      </c>
      <c r="Q17" s="152" t="str">
        <f t="shared" si="2"/>
        <v>Sewer Operations Engineer</v>
      </c>
      <c r="R17" s="158" t="str">
        <f t="shared" si="3"/>
        <v>05</v>
      </c>
      <c r="S17" s="159" cm="1">
        <f t="array" aca="1" ref="S17" ca="1">IF($O17="Y",VLOOKUP($P17,INDIRECT($P$3),S$7,0)*INDIRECT($P$2),VLOOKUP($P17,INDIRECT($P$3),S$7,0))*$Q$4</f>
        <v>126513.7202784884</v>
      </c>
      <c r="T17" s="159" cm="1">
        <f t="array" aca="1" ref="T17" ca="1">IF($O17="Y",VLOOKUP($P17,INDIRECT($P$3),T$7,0)*INDIRECT($P$2),VLOOKUP($P17,INDIRECT($P$3),T$7,0))*$Q$4</f>
        <v>132820.4765571859</v>
      </c>
      <c r="U17" s="159" cm="1">
        <f t="array" aca="1" ref="U17" ca="1">IF($O17="Y",VLOOKUP($P17,INDIRECT($P$3),U$7,0)*INDIRECT($P$2),VLOOKUP($P17,INDIRECT($P$3),U$7,0))*$Q$4</f>
        <v>139460.31051698237</v>
      </c>
      <c r="V17" s="159" cm="1">
        <f t="array" aca="1" ref="V17" ca="1">IF($O17="Y",VLOOKUP($P17,INDIRECT($P$3),V$7,0)*INDIRECT($P$2),VLOOKUP($P17,INDIRECT($P$3),V$7,0))*$Q$4</f>
        <v>146431.67296656666</v>
      </c>
      <c r="W17" s="159" cm="1">
        <f t="array" aca="1" ref="W17" ca="1">IF($O17="Y",VLOOKUP($P17,INDIRECT($P$3),W$7,0)*INDIRECT($P$2),VLOOKUP($P17,INDIRECT($P$3),W$7,0))*$Q$4</f>
        <v>153734.560807556</v>
      </c>
      <c r="X17" s="159" cm="1">
        <f t="array" aca="1" ref="X17" ca="1">IF($O17="Y",VLOOKUP($P17,INDIRECT($P$3),X$7,0)*INDIRECT($P$2),VLOOKUP($P17,INDIRECT($P$3),X$7,0))*$Q$4</f>
        <v>161321.50981517712</v>
      </c>
      <c r="Y17" s="167" t="str">
        <f t="shared" si="4"/>
        <v>Y</v>
      </c>
      <c r="Z17" s="167" t="str">
        <f t="shared" si="4"/>
        <v>53044C</v>
      </c>
      <c r="AA17" s="168" t="str">
        <f t="shared" si="4"/>
        <v>Sewer Operations Engineer</v>
      </c>
      <c r="AB17" s="167" t="str">
        <f t="shared" si="4"/>
        <v>05</v>
      </c>
      <c r="AC17" s="169">
        <f t="shared" ca="1" si="5"/>
        <v>60.823999999999998</v>
      </c>
      <c r="AD17" s="169">
        <f t="shared" ca="1" si="5"/>
        <v>63.856000000000002</v>
      </c>
      <c r="AE17" s="169">
        <f t="shared" ca="1" si="5"/>
        <v>67.048000000000002</v>
      </c>
      <c r="AF17" s="169">
        <f t="shared" ca="1" si="5"/>
        <v>70.400000000000006</v>
      </c>
      <c r="AG17" s="169">
        <f t="shared" ca="1" si="5"/>
        <v>73.911000000000001</v>
      </c>
      <c r="AH17" s="169">
        <f t="shared" ca="1" si="5"/>
        <v>77.558000000000007</v>
      </c>
      <c r="AI17" s="182">
        <f ca="1">AH17/'1-1-2025'!AH17</f>
        <v>1.0555986552883374</v>
      </c>
    </row>
    <row r="18" spans="1:35" ht="12.75" customHeight="1">
      <c r="A18" s="104" t="s">
        <v>16</v>
      </c>
      <c r="B18" s="138" t="s">
        <v>163</v>
      </c>
      <c r="C18" s="104" t="s">
        <v>48</v>
      </c>
      <c r="D18" s="105" t="s">
        <v>104</v>
      </c>
      <c r="E18" s="104">
        <v>625</v>
      </c>
      <c r="F18" s="104">
        <v>13</v>
      </c>
      <c r="G18" s="93" t="s">
        <v>6</v>
      </c>
      <c r="H18" s="106">
        <f t="shared" ca="1" si="0"/>
        <v>126513.7202784884</v>
      </c>
      <c r="I18" s="106">
        <f t="shared" ca="1" si="0"/>
        <v>132820.4765571859</v>
      </c>
      <c r="J18" s="106">
        <f t="shared" ca="1" si="0"/>
        <v>139460.31051698237</v>
      </c>
      <c r="K18" s="106">
        <f t="shared" ca="1" si="0"/>
        <v>146431.67296656666</v>
      </c>
      <c r="L18" s="106">
        <f t="shared" ca="1" si="0"/>
        <v>153734.560807556</v>
      </c>
      <c r="M18" s="106">
        <f t="shared" ca="1" si="0"/>
        <v>161321.50981517712</v>
      </c>
      <c r="N18" s="106"/>
      <c r="O18" s="157" t="s">
        <v>176</v>
      </c>
      <c r="P18" s="160" t="str">
        <f t="shared" si="1"/>
        <v>09440C</v>
      </c>
      <c r="Q18" s="152" t="str">
        <f t="shared" si="2"/>
        <v>Street Maintenance Engineer</v>
      </c>
      <c r="R18" s="158" t="str">
        <f t="shared" si="3"/>
        <v>05</v>
      </c>
      <c r="S18" s="159" cm="1">
        <f t="array" aca="1" ref="S18" ca="1">IF($O18="Y",VLOOKUP($P18,INDIRECT($P$3),S$7,0)*INDIRECT($P$2),VLOOKUP($P18,INDIRECT($P$3),S$7,0))*$Q$4</f>
        <v>126513.7202784884</v>
      </c>
      <c r="T18" s="159" cm="1">
        <f t="array" aca="1" ref="T18" ca="1">IF($O18="Y",VLOOKUP($P18,INDIRECT($P$3),T$7,0)*INDIRECT($P$2),VLOOKUP($P18,INDIRECT($P$3),T$7,0))*$Q$4</f>
        <v>132820.4765571859</v>
      </c>
      <c r="U18" s="159" cm="1">
        <f t="array" aca="1" ref="U18" ca="1">IF($O18="Y",VLOOKUP($P18,INDIRECT($P$3),U$7,0)*INDIRECT($P$2),VLOOKUP($P18,INDIRECT($P$3),U$7,0))*$Q$4</f>
        <v>139460.31051698237</v>
      </c>
      <c r="V18" s="159" cm="1">
        <f t="array" aca="1" ref="V18" ca="1">IF($O18="Y",VLOOKUP($P18,INDIRECT($P$3),V$7,0)*INDIRECT($P$2),VLOOKUP($P18,INDIRECT($P$3),V$7,0))*$Q$4</f>
        <v>146431.67296656666</v>
      </c>
      <c r="W18" s="159" cm="1">
        <f t="array" aca="1" ref="W18" ca="1">IF($O18="Y",VLOOKUP($P18,INDIRECT($P$3),W$7,0)*INDIRECT($P$2),VLOOKUP($P18,INDIRECT($P$3),W$7,0))*$Q$4</f>
        <v>153734.560807556</v>
      </c>
      <c r="X18" s="159" cm="1">
        <f t="array" aca="1" ref="X18" ca="1">IF($O18="Y",VLOOKUP($P18,INDIRECT($P$3),X$7,0)*INDIRECT($P$2),VLOOKUP($P18,INDIRECT($P$3),X$7,0))*$Q$4</f>
        <v>161321.50981517712</v>
      </c>
      <c r="Y18" s="167" t="str">
        <f t="shared" si="4"/>
        <v>Y</v>
      </c>
      <c r="Z18" s="167" t="str">
        <f t="shared" si="4"/>
        <v>09440C</v>
      </c>
      <c r="AA18" s="168" t="str">
        <f t="shared" si="4"/>
        <v>Street Maintenance Engineer</v>
      </c>
      <c r="AB18" s="167" t="str">
        <f t="shared" si="4"/>
        <v>05</v>
      </c>
      <c r="AC18" s="169">
        <f t="shared" ca="1" si="5"/>
        <v>60.823999999999998</v>
      </c>
      <c r="AD18" s="169">
        <f t="shared" ca="1" si="5"/>
        <v>63.856000000000002</v>
      </c>
      <c r="AE18" s="169">
        <f t="shared" ca="1" si="5"/>
        <v>67.048000000000002</v>
      </c>
      <c r="AF18" s="169">
        <f t="shared" ca="1" si="5"/>
        <v>70.400000000000006</v>
      </c>
      <c r="AG18" s="169">
        <f t="shared" ca="1" si="5"/>
        <v>73.911000000000001</v>
      </c>
      <c r="AH18" s="169">
        <f t="shared" ca="1" si="5"/>
        <v>77.558000000000007</v>
      </c>
      <c r="AI18" s="182">
        <f ca="1">AH18/'1-1-2025'!AH18</f>
        <v>1.0555986552883374</v>
      </c>
    </row>
    <row r="19" spans="1:35" ht="12.75" customHeight="1">
      <c r="A19" s="104" t="s">
        <v>18</v>
      </c>
      <c r="B19" s="138" t="s">
        <v>163</v>
      </c>
      <c r="C19" s="104" t="s">
        <v>48</v>
      </c>
      <c r="D19" s="105" t="s">
        <v>105</v>
      </c>
      <c r="E19" s="104">
        <v>588</v>
      </c>
      <c r="F19" s="104">
        <v>13</v>
      </c>
      <c r="G19" s="93" t="s">
        <v>6</v>
      </c>
      <c r="H19" s="106">
        <f t="shared" ca="1" si="0"/>
        <v>126513.7202784884</v>
      </c>
      <c r="I19" s="106">
        <f t="shared" ca="1" si="0"/>
        <v>132820.4765571859</v>
      </c>
      <c r="J19" s="106">
        <f t="shared" ca="1" si="0"/>
        <v>139460.31051698237</v>
      </c>
      <c r="K19" s="106">
        <f t="shared" ca="1" si="0"/>
        <v>146431.67296656666</v>
      </c>
      <c r="L19" s="106">
        <f t="shared" ca="1" si="0"/>
        <v>153734.560807556</v>
      </c>
      <c r="M19" s="106">
        <f t="shared" ca="1" si="0"/>
        <v>161321.50981517712</v>
      </c>
      <c r="N19" s="106"/>
      <c r="O19" s="157" t="s">
        <v>176</v>
      </c>
      <c r="P19" s="160" t="str">
        <f t="shared" si="1"/>
        <v>09750C</v>
      </c>
      <c r="Q19" s="152" t="str">
        <f t="shared" si="2"/>
        <v>Supt, Environmental Engnrg</v>
      </c>
      <c r="R19" s="158" t="str">
        <f t="shared" si="3"/>
        <v>05</v>
      </c>
      <c r="S19" s="159" cm="1">
        <f t="array" aca="1" ref="S19" ca="1">IF($O19="Y",VLOOKUP($P19,INDIRECT($P$3),S$7,0)*INDIRECT($P$2),VLOOKUP($P19,INDIRECT($P$3),S$7,0))*$Q$4</f>
        <v>126513.7202784884</v>
      </c>
      <c r="T19" s="159" cm="1">
        <f t="array" aca="1" ref="T19" ca="1">IF($O19="Y",VLOOKUP($P19,INDIRECT($P$3),T$7,0)*INDIRECT($P$2),VLOOKUP($P19,INDIRECT($P$3),T$7,0))*$Q$4</f>
        <v>132820.4765571859</v>
      </c>
      <c r="U19" s="159" cm="1">
        <f t="array" aca="1" ref="U19" ca="1">IF($O19="Y",VLOOKUP($P19,INDIRECT($P$3),U$7,0)*INDIRECT($P$2),VLOOKUP($P19,INDIRECT($P$3),U$7,0))*$Q$4</f>
        <v>139460.31051698237</v>
      </c>
      <c r="V19" s="159" cm="1">
        <f t="array" aca="1" ref="V19" ca="1">IF($O19="Y",VLOOKUP($P19,INDIRECT($P$3),V$7,0)*INDIRECT($P$2),VLOOKUP($P19,INDIRECT($P$3),V$7,0))*$Q$4</f>
        <v>146431.67296656666</v>
      </c>
      <c r="W19" s="159" cm="1">
        <f t="array" aca="1" ref="W19" ca="1">IF($O19="Y",VLOOKUP($P19,INDIRECT($P$3),W$7,0)*INDIRECT($P$2),VLOOKUP($P19,INDIRECT($P$3),W$7,0))*$Q$4</f>
        <v>153734.560807556</v>
      </c>
      <c r="X19" s="159" cm="1">
        <f t="array" aca="1" ref="X19" ca="1">IF($O19="Y",VLOOKUP($P19,INDIRECT($P$3),X$7,0)*INDIRECT($P$2),VLOOKUP($P19,INDIRECT($P$3),X$7,0))*$Q$4</f>
        <v>161321.50981517712</v>
      </c>
      <c r="Y19" s="167" t="str">
        <f t="shared" si="4"/>
        <v>Y</v>
      </c>
      <c r="Z19" s="167" t="str">
        <f t="shared" si="4"/>
        <v>09750C</v>
      </c>
      <c r="AA19" s="168" t="str">
        <f t="shared" si="4"/>
        <v>Supt, Environmental Engnrg</v>
      </c>
      <c r="AB19" s="167" t="str">
        <f t="shared" si="4"/>
        <v>05</v>
      </c>
      <c r="AC19" s="169">
        <f t="shared" ca="1" si="5"/>
        <v>60.823999999999998</v>
      </c>
      <c r="AD19" s="169">
        <f t="shared" ca="1" si="5"/>
        <v>63.856000000000002</v>
      </c>
      <c r="AE19" s="169">
        <f t="shared" ca="1" si="5"/>
        <v>67.048000000000002</v>
      </c>
      <c r="AF19" s="169">
        <f t="shared" ca="1" si="5"/>
        <v>70.400000000000006</v>
      </c>
      <c r="AG19" s="169">
        <f t="shared" ca="1" si="5"/>
        <v>73.911000000000001</v>
      </c>
      <c r="AH19" s="169">
        <f t="shared" ca="1" si="5"/>
        <v>77.558000000000007</v>
      </c>
      <c r="AI19" s="182">
        <f ca="1">AH19/'1-1-2025'!AH19</f>
        <v>1.0555986552883374</v>
      </c>
    </row>
    <row r="20" spans="1:35" ht="12.75" customHeight="1">
      <c r="A20" s="104" t="s">
        <v>20</v>
      </c>
      <c r="B20" s="138" t="s">
        <v>163</v>
      </c>
      <c r="C20" s="104" t="s">
        <v>48</v>
      </c>
      <c r="D20" s="105" t="s">
        <v>107</v>
      </c>
      <c r="E20" s="104">
        <v>605</v>
      </c>
      <c r="F20" s="104">
        <v>13</v>
      </c>
      <c r="G20" s="93" t="s">
        <v>6</v>
      </c>
      <c r="H20" s="106">
        <f t="shared" ca="1" si="0"/>
        <v>126513.7202784884</v>
      </c>
      <c r="I20" s="106">
        <f t="shared" ca="1" si="0"/>
        <v>132820.4765571859</v>
      </c>
      <c r="J20" s="106">
        <f t="shared" ca="1" si="0"/>
        <v>139460.31051698237</v>
      </c>
      <c r="K20" s="106">
        <f t="shared" ca="1" si="0"/>
        <v>146431.67296656666</v>
      </c>
      <c r="L20" s="106">
        <f t="shared" ca="1" si="0"/>
        <v>153734.560807556</v>
      </c>
      <c r="M20" s="106">
        <f t="shared" ca="1" si="0"/>
        <v>161321.50981517712</v>
      </c>
      <c r="N20" s="106"/>
      <c r="O20" s="157" t="s">
        <v>176</v>
      </c>
      <c r="P20" s="160" t="str">
        <f t="shared" si="1"/>
        <v>09790C</v>
      </c>
      <c r="Q20" s="152" t="str">
        <f t="shared" si="2"/>
        <v xml:space="preserve">Supt, Water Plant Operations </v>
      </c>
      <c r="R20" s="158" t="str">
        <f t="shared" si="3"/>
        <v>05</v>
      </c>
      <c r="S20" s="159" cm="1">
        <f t="array" aca="1" ref="S20" ca="1">IF($O20="Y",VLOOKUP($P20,INDIRECT($P$3),S$7,0)*INDIRECT($P$2),VLOOKUP($P20,INDIRECT($P$3),S$7,0))*$Q$4</f>
        <v>126513.7202784884</v>
      </c>
      <c r="T20" s="159" cm="1">
        <f t="array" aca="1" ref="T20" ca="1">IF($O20="Y",VLOOKUP($P20,INDIRECT($P$3),T$7,0)*INDIRECT($P$2),VLOOKUP($P20,INDIRECT($P$3),T$7,0))*$Q$4</f>
        <v>132820.4765571859</v>
      </c>
      <c r="U20" s="159" cm="1">
        <f t="array" aca="1" ref="U20" ca="1">IF($O20="Y",VLOOKUP($P20,INDIRECT($P$3),U$7,0)*INDIRECT($P$2),VLOOKUP($P20,INDIRECT($P$3),U$7,0))*$Q$4</f>
        <v>139460.31051698237</v>
      </c>
      <c r="V20" s="159" cm="1">
        <f t="array" aca="1" ref="V20" ca="1">IF($O20="Y",VLOOKUP($P20,INDIRECT($P$3),V$7,0)*INDIRECT($P$2),VLOOKUP($P20,INDIRECT($P$3),V$7,0))*$Q$4</f>
        <v>146431.67296656666</v>
      </c>
      <c r="W20" s="159" cm="1">
        <f t="array" aca="1" ref="W20" ca="1">IF($O20="Y",VLOOKUP($P20,INDIRECT($P$3),W$7,0)*INDIRECT($P$2),VLOOKUP($P20,INDIRECT($P$3),W$7,0))*$Q$4</f>
        <v>153734.560807556</v>
      </c>
      <c r="X20" s="159" cm="1">
        <f t="array" aca="1" ref="X20" ca="1">IF($O20="Y",VLOOKUP($P20,INDIRECT($P$3),X$7,0)*INDIRECT($P$2),VLOOKUP($P20,INDIRECT($P$3),X$7,0))*$Q$4</f>
        <v>161321.50981517712</v>
      </c>
      <c r="Y20" s="167" t="str">
        <f t="shared" si="4"/>
        <v>Y</v>
      </c>
      <c r="Z20" s="167" t="str">
        <f t="shared" si="4"/>
        <v>09790C</v>
      </c>
      <c r="AA20" s="168" t="str">
        <f t="shared" si="4"/>
        <v xml:space="preserve">Supt, Water Plant Operations </v>
      </c>
      <c r="AB20" s="167" t="str">
        <f t="shared" si="4"/>
        <v>05</v>
      </c>
      <c r="AC20" s="169">
        <f t="shared" ca="1" si="5"/>
        <v>60.823999999999998</v>
      </c>
      <c r="AD20" s="169">
        <f t="shared" ca="1" si="5"/>
        <v>63.856000000000002</v>
      </c>
      <c r="AE20" s="169">
        <f t="shared" ca="1" si="5"/>
        <v>67.048000000000002</v>
      </c>
      <c r="AF20" s="169">
        <f t="shared" ca="1" si="5"/>
        <v>70.400000000000006</v>
      </c>
      <c r="AG20" s="169">
        <f t="shared" ca="1" si="5"/>
        <v>73.911000000000001</v>
      </c>
      <c r="AH20" s="169">
        <f t="shared" ca="1" si="5"/>
        <v>77.558000000000007</v>
      </c>
      <c r="AI20" s="182">
        <f ca="1">AH20/'1-1-2025'!AH20</f>
        <v>1.0555986552883374</v>
      </c>
    </row>
    <row r="21" spans="1:35" ht="12.75" customHeight="1">
      <c r="A21" s="104" t="s">
        <v>127</v>
      </c>
      <c r="B21" s="139" t="s">
        <v>163</v>
      </c>
      <c r="C21" s="104" t="s">
        <v>48</v>
      </c>
      <c r="D21" s="105" t="s">
        <v>125</v>
      </c>
      <c r="E21" s="104">
        <v>600</v>
      </c>
      <c r="F21" s="104">
        <v>13</v>
      </c>
      <c r="G21" s="93" t="s">
        <v>6</v>
      </c>
      <c r="H21" s="106">
        <f t="shared" ca="1" si="0"/>
        <v>126513.7202784884</v>
      </c>
      <c r="I21" s="106">
        <f t="shared" ca="1" si="0"/>
        <v>132820.4765571859</v>
      </c>
      <c r="J21" s="106">
        <f t="shared" ca="1" si="0"/>
        <v>139460.31051698237</v>
      </c>
      <c r="K21" s="106">
        <f t="shared" ca="1" si="0"/>
        <v>146431.67296656666</v>
      </c>
      <c r="L21" s="106">
        <f t="shared" ca="1" si="0"/>
        <v>153734.560807556</v>
      </c>
      <c r="M21" s="106">
        <f t="shared" ca="1" si="0"/>
        <v>161321.50981517712</v>
      </c>
      <c r="N21" s="106"/>
      <c r="O21" s="157" t="s">
        <v>176</v>
      </c>
      <c r="P21" s="160" t="str">
        <f t="shared" si="1"/>
        <v>10625C</v>
      </c>
      <c r="Q21" s="152" t="str">
        <f t="shared" si="2"/>
        <v>Traffic Operations Engineer</v>
      </c>
      <c r="R21" s="158" t="str">
        <f t="shared" si="3"/>
        <v>05</v>
      </c>
      <c r="S21" s="159" cm="1">
        <f t="array" aca="1" ref="S21" ca="1">IF($O21="Y",VLOOKUP($P21,INDIRECT($P$3),S$7,0)*INDIRECT($P$2),VLOOKUP($P21,INDIRECT($P$3),S$7,0))*$Q$4</f>
        <v>126513.7202784884</v>
      </c>
      <c r="T21" s="159" cm="1">
        <f t="array" aca="1" ref="T21" ca="1">IF($O21="Y",VLOOKUP($P21,INDIRECT($P$3),T$7,0)*INDIRECT($P$2),VLOOKUP($P21,INDIRECT($P$3),T$7,0))*$Q$4</f>
        <v>132820.4765571859</v>
      </c>
      <c r="U21" s="159" cm="1">
        <f t="array" aca="1" ref="U21" ca="1">IF($O21="Y",VLOOKUP($P21,INDIRECT($P$3),U$7,0)*INDIRECT($P$2),VLOOKUP($P21,INDIRECT($P$3),U$7,0))*$Q$4</f>
        <v>139460.31051698237</v>
      </c>
      <c r="V21" s="159" cm="1">
        <f t="array" aca="1" ref="V21" ca="1">IF($O21="Y",VLOOKUP($P21,INDIRECT($P$3),V$7,0)*INDIRECT($P$2),VLOOKUP($P21,INDIRECT($P$3),V$7,0))*$Q$4</f>
        <v>146431.67296656666</v>
      </c>
      <c r="W21" s="159" cm="1">
        <f t="array" aca="1" ref="W21" ca="1">IF($O21="Y",VLOOKUP($P21,INDIRECT($P$3),W$7,0)*INDIRECT($P$2),VLOOKUP($P21,INDIRECT($P$3),W$7,0))*$Q$4</f>
        <v>153734.560807556</v>
      </c>
      <c r="X21" s="159" cm="1">
        <f t="array" aca="1" ref="X21" ca="1">IF($O21="Y",VLOOKUP($P21,INDIRECT($P$3),X$7,0)*INDIRECT($P$2),VLOOKUP($P21,INDIRECT($P$3),X$7,0))*$Q$4</f>
        <v>161321.50981517712</v>
      </c>
      <c r="Y21" s="167" t="str">
        <f t="shared" si="4"/>
        <v>Y</v>
      </c>
      <c r="Z21" s="167" t="str">
        <f t="shared" si="4"/>
        <v>10625C</v>
      </c>
      <c r="AA21" s="168" t="str">
        <f t="shared" si="4"/>
        <v>Traffic Operations Engineer</v>
      </c>
      <c r="AB21" s="167" t="str">
        <f t="shared" si="4"/>
        <v>05</v>
      </c>
      <c r="AC21" s="169">
        <f t="shared" ca="1" si="5"/>
        <v>60.823999999999998</v>
      </c>
      <c r="AD21" s="169">
        <f t="shared" ca="1" si="5"/>
        <v>63.856000000000002</v>
      </c>
      <c r="AE21" s="169">
        <f t="shared" ca="1" si="5"/>
        <v>67.048000000000002</v>
      </c>
      <c r="AF21" s="169">
        <f t="shared" ca="1" si="5"/>
        <v>70.400000000000006</v>
      </c>
      <c r="AG21" s="169">
        <f t="shared" ca="1" si="5"/>
        <v>73.911000000000001</v>
      </c>
      <c r="AH21" s="169">
        <f t="shared" ca="1" si="5"/>
        <v>77.558000000000007</v>
      </c>
      <c r="AI21" s="182">
        <f ca="1">AH21/'1-1-2025'!AH21</f>
        <v>1.0555986552883374</v>
      </c>
    </row>
    <row r="22" spans="1:35" s="125" customFormat="1">
      <c r="A22" s="93"/>
      <c r="B22" s="93"/>
      <c r="C22" s="93"/>
      <c r="D22" s="93"/>
      <c r="E22" s="93"/>
      <c r="F22" s="93"/>
      <c r="G22" s="93"/>
      <c r="H22" s="93"/>
      <c r="I22" s="93"/>
      <c r="J22" s="93"/>
      <c r="K22" s="93"/>
      <c r="L22" s="93"/>
      <c r="M22" s="93"/>
      <c r="N22" s="93"/>
      <c r="O22" s="152"/>
      <c r="P22" s="160"/>
      <c r="Q22" s="152"/>
      <c r="R22" s="152"/>
      <c r="S22" s="152"/>
      <c r="T22" s="152"/>
      <c r="U22" s="154"/>
      <c r="V22" s="154"/>
      <c r="W22" s="152"/>
      <c r="X22" s="152"/>
      <c r="Y22" s="170"/>
      <c r="Z22" s="170"/>
      <c r="AA22" s="171"/>
      <c r="AB22" s="170"/>
      <c r="AC22" s="170"/>
      <c r="AD22" s="170"/>
      <c r="AE22" s="170"/>
      <c r="AF22" s="170"/>
      <c r="AG22" s="170"/>
      <c r="AH22" s="170"/>
      <c r="AI22" s="182"/>
    </row>
    <row r="23" spans="1:35" s="125" customFormat="1">
      <c r="A23" s="115" t="s">
        <v>68</v>
      </c>
      <c r="B23" s="112"/>
      <c r="C23" s="93"/>
      <c r="D23" s="93"/>
      <c r="E23" s="93"/>
      <c r="F23" s="93"/>
      <c r="G23" s="93"/>
      <c r="H23" s="93"/>
      <c r="I23" s="93"/>
      <c r="J23" s="93"/>
      <c r="K23" s="93"/>
      <c r="L23" s="93"/>
      <c r="M23" s="93"/>
      <c r="N23" s="93"/>
      <c r="O23" s="152"/>
      <c r="P23" s="160"/>
      <c r="Q23" s="152"/>
      <c r="R23" s="152"/>
      <c r="S23" s="152"/>
      <c r="T23" s="152"/>
      <c r="U23" s="154"/>
      <c r="V23" s="154"/>
      <c r="W23" s="152"/>
      <c r="X23" s="152"/>
      <c r="Y23" s="170"/>
      <c r="Z23" s="170"/>
      <c r="AA23" s="171"/>
      <c r="AB23" s="170"/>
      <c r="AC23" s="170"/>
      <c r="AD23" s="170"/>
      <c r="AE23" s="170"/>
      <c r="AF23" s="170"/>
      <c r="AG23" s="170"/>
      <c r="AH23" s="170"/>
      <c r="AI23" s="182"/>
    </row>
    <row r="24" spans="1:35" s="125" customFormat="1">
      <c r="A24" s="116">
        <f>S24</f>
        <v>50</v>
      </c>
      <c r="B24" s="112"/>
      <c r="C24" s="93" t="s">
        <v>183</v>
      </c>
      <c r="D24" s="93"/>
      <c r="E24" s="93"/>
      <c r="F24" s="93"/>
      <c r="G24" s="93"/>
      <c r="H24" s="93"/>
      <c r="I24" s="93"/>
      <c r="J24" s="93"/>
      <c r="K24" s="93"/>
      <c r="L24" s="93"/>
      <c r="M24" s="93"/>
      <c r="N24" s="93"/>
      <c r="O24" s="160" t="s">
        <v>184</v>
      </c>
      <c r="P24" s="160" t="s">
        <v>167</v>
      </c>
      <c r="Q24" s="154"/>
      <c r="R24" s="154"/>
      <c r="S24" s="159">
        <v>50</v>
      </c>
      <c r="T24" s="152"/>
      <c r="U24" s="154"/>
      <c r="V24" s="154"/>
      <c r="W24" s="152"/>
      <c r="X24" s="152"/>
      <c r="Y24" s="167" t="str">
        <f t="shared" ref="Y24:Z25" si="8">O24</f>
        <v>N</v>
      </c>
      <c r="Z24" s="167" t="str">
        <f t="shared" si="8"/>
        <v>CENCDY</v>
      </c>
      <c r="AA24" s="168"/>
      <c r="AB24" s="167"/>
      <c r="AC24" s="169">
        <f t="shared" ref="AC24:AC25" si="9">ROUND(S24/2080,3)</f>
        <v>2.4E-2</v>
      </c>
      <c r="AD24" s="170"/>
      <c r="AE24" s="170"/>
      <c r="AF24" s="170"/>
      <c r="AG24" s="170"/>
      <c r="AH24" s="170"/>
      <c r="AI24" s="182">
        <f ca="1">AC24/'1-1-2025'!AC24</f>
        <v>1.1428571428571428</v>
      </c>
    </row>
    <row r="25" spans="1:35" s="125" customFormat="1">
      <c r="A25" s="116">
        <f>S25</f>
        <v>60</v>
      </c>
      <c r="B25" s="112"/>
      <c r="C25" s="93" t="s">
        <v>182</v>
      </c>
      <c r="D25" s="93"/>
      <c r="E25" s="93"/>
      <c r="F25" s="93"/>
      <c r="G25" s="93"/>
      <c r="H25" s="93"/>
      <c r="I25" s="93"/>
      <c r="J25" s="93"/>
      <c r="K25" s="93"/>
      <c r="L25" s="93"/>
      <c r="M25" s="93"/>
      <c r="N25" s="93"/>
      <c r="O25" s="160" t="s">
        <v>184</v>
      </c>
      <c r="P25" s="160" t="s">
        <v>168</v>
      </c>
      <c r="Q25" s="154"/>
      <c r="R25" s="154"/>
      <c r="S25" s="159">
        <v>60</v>
      </c>
      <c r="T25" s="152"/>
      <c r="U25" s="154"/>
      <c r="V25" s="154"/>
      <c r="W25" s="152"/>
      <c r="X25" s="152"/>
      <c r="Y25" s="167" t="str">
        <f t="shared" si="8"/>
        <v>N</v>
      </c>
      <c r="Z25" s="167" t="str">
        <f t="shared" si="8"/>
        <v>CENCWE</v>
      </c>
      <c r="AA25" s="168"/>
      <c r="AB25" s="167"/>
      <c r="AC25" s="169">
        <f t="shared" si="9"/>
        <v>2.9000000000000001E-2</v>
      </c>
      <c r="AD25" s="170"/>
      <c r="AE25" s="170"/>
      <c r="AF25" s="170"/>
      <c r="AG25" s="170"/>
      <c r="AH25" s="170"/>
      <c r="AI25" s="182">
        <f ca="1">AC25/'1-1-2025'!AC25</f>
        <v>1.1599999999999999</v>
      </c>
    </row>
    <row r="26" spans="1:35">
      <c r="O26" s="160"/>
      <c r="AI26" s="182"/>
    </row>
    <row r="27" spans="1:35" s="125" customFormat="1">
      <c r="A27" s="94" t="s">
        <v>70</v>
      </c>
      <c r="B27" s="178"/>
      <c r="C27" s="94"/>
      <c r="D27" s="178"/>
      <c r="E27" s="178"/>
      <c r="F27" s="178"/>
      <c r="G27" s="178"/>
      <c r="H27" s="93"/>
      <c r="I27" s="93"/>
      <c r="J27" s="93"/>
      <c r="K27" s="93"/>
      <c r="L27" s="93"/>
      <c r="M27" s="93"/>
      <c r="N27" s="93"/>
      <c r="O27" s="160"/>
      <c r="P27" s="160"/>
      <c r="Q27" s="152"/>
      <c r="R27" s="152"/>
      <c r="S27" s="152"/>
      <c r="T27" s="152"/>
      <c r="U27" s="154"/>
      <c r="V27" s="154"/>
      <c r="W27" s="152"/>
      <c r="X27" s="152"/>
      <c r="Y27" s="170"/>
      <c r="Z27" s="170"/>
      <c r="AA27" s="171"/>
      <c r="AB27" s="170"/>
      <c r="AC27" s="170"/>
      <c r="AD27" s="170"/>
      <c r="AE27" s="170"/>
      <c r="AF27" s="170"/>
      <c r="AG27" s="170"/>
      <c r="AH27" s="170"/>
      <c r="AI27" s="182"/>
    </row>
    <row r="28" spans="1:35" s="125" customFormat="1">
      <c r="A28" s="118" t="s">
        <v>133</v>
      </c>
      <c r="B28" s="178"/>
      <c r="C28" s="94"/>
      <c r="D28" s="178"/>
      <c r="E28" s="178"/>
      <c r="F28" s="178"/>
      <c r="G28" s="178"/>
      <c r="H28" s="93"/>
      <c r="I28" s="93"/>
      <c r="J28" s="93"/>
      <c r="K28" s="93"/>
      <c r="L28" s="93"/>
      <c r="M28" s="93"/>
      <c r="N28" s="93"/>
      <c r="O28" s="160"/>
      <c r="P28" s="160"/>
      <c r="Q28" s="152"/>
      <c r="R28" s="152"/>
      <c r="S28" s="152"/>
      <c r="T28" s="152"/>
      <c r="U28" s="154"/>
      <c r="V28" s="154"/>
      <c r="W28" s="152"/>
      <c r="X28" s="152"/>
      <c r="Y28" s="170"/>
      <c r="Z28" s="170"/>
      <c r="AA28" s="171"/>
      <c r="AB28" s="170"/>
      <c r="AC28" s="170"/>
      <c r="AD28" s="170"/>
      <c r="AE28" s="170"/>
      <c r="AF28" s="170"/>
      <c r="AG28" s="170"/>
      <c r="AH28" s="170"/>
      <c r="AI28" s="182"/>
    </row>
    <row r="29" spans="1:35" s="125" customFormat="1">
      <c r="A29" s="184">
        <f ca="1">S29</f>
        <v>954.3147308544701</v>
      </c>
      <c r="B29" s="112"/>
      <c r="C29" s="119" t="s">
        <v>24</v>
      </c>
      <c r="D29" s="178"/>
      <c r="E29" s="178"/>
      <c r="F29" s="178"/>
      <c r="G29" s="178"/>
      <c r="H29" s="93"/>
      <c r="I29" s="93"/>
      <c r="J29" s="93"/>
      <c r="K29" s="93"/>
      <c r="L29" s="93"/>
      <c r="M29" s="93"/>
      <c r="N29" s="93"/>
      <c r="O29" s="160" t="s">
        <v>176</v>
      </c>
      <c r="P29" s="160" t="s">
        <v>178</v>
      </c>
      <c r="Q29" s="159"/>
      <c r="R29" s="159"/>
      <c r="S29" s="159" cm="1">
        <f t="array" aca="1" ref="S29" ca="1">IF($O29="Y",VLOOKUP($P29,INDIRECT($P$3),S$7,0)*INDIRECT($P$2),VLOOKUP($P29,INDIRECT($P$3),S$7,0))*$Q$4</f>
        <v>954.3147308544701</v>
      </c>
      <c r="T29" s="152"/>
      <c r="U29" s="154"/>
      <c r="V29" s="154"/>
      <c r="W29" s="152"/>
      <c r="X29" s="152"/>
      <c r="Y29" s="167" t="str">
        <f t="shared" ref="Y29:Z32" si="10">O29</f>
        <v>Y</v>
      </c>
      <c r="Z29" s="167" t="str">
        <f t="shared" si="10"/>
        <v>Long10</v>
      </c>
      <c r="AA29" s="168"/>
      <c r="AB29" s="167"/>
      <c r="AC29" s="169">
        <f t="shared" ref="AC29:AC32" ca="1" si="11">ROUND(S29/2080,3)</f>
        <v>0.45900000000000002</v>
      </c>
      <c r="AD29" s="170"/>
      <c r="AE29" s="170"/>
      <c r="AF29" s="170"/>
      <c r="AG29" s="170"/>
      <c r="AH29" s="170"/>
      <c r="AI29" s="182">
        <f ca="1">AC29/'1-1-2025'!AC29</f>
        <v>1.0551724137931036</v>
      </c>
    </row>
    <row r="30" spans="1:35" s="125" customFormat="1">
      <c r="A30" s="184">
        <f ca="1">S30</f>
        <v>1306.2543761713978</v>
      </c>
      <c r="B30" s="112"/>
      <c r="C30" s="119" t="s">
        <v>25</v>
      </c>
      <c r="D30" s="178"/>
      <c r="E30" s="178"/>
      <c r="F30" s="178"/>
      <c r="G30" s="178"/>
      <c r="H30" s="93"/>
      <c r="I30" s="93"/>
      <c r="J30" s="93"/>
      <c r="K30" s="93"/>
      <c r="L30" s="93"/>
      <c r="M30" s="93"/>
      <c r="N30" s="93"/>
      <c r="O30" s="160" t="s">
        <v>176</v>
      </c>
      <c r="P30" s="160" t="s">
        <v>179</v>
      </c>
      <c r="Q30" s="159"/>
      <c r="R30" s="159"/>
      <c r="S30" s="159" cm="1">
        <f t="array" aca="1" ref="S30" ca="1">IF($O30="Y",VLOOKUP($P30,INDIRECT($P$3),S$7,0)*INDIRECT($P$2),VLOOKUP($P30,INDIRECT($P$3),S$7,0))*$Q$4</f>
        <v>1306.2543761713978</v>
      </c>
      <c r="T30" s="152"/>
      <c r="U30" s="154"/>
      <c r="V30" s="154"/>
      <c r="W30" s="152"/>
      <c r="X30" s="152"/>
      <c r="Y30" s="167" t="str">
        <f t="shared" si="10"/>
        <v>Y</v>
      </c>
      <c r="Z30" s="167" t="str">
        <f t="shared" si="10"/>
        <v>Long15</v>
      </c>
      <c r="AA30" s="168"/>
      <c r="AB30" s="167"/>
      <c r="AC30" s="169">
        <f t="shared" ca="1" si="11"/>
        <v>0.628</v>
      </c>
      <c r="AD30" s="170"/>
      <c r="AE30" s="170"/>
      <c r="AF30" s="170"/>
      <c r="AG30" s="170"/>
      <c r="AH30" s="170"/>
      <c r="AI30" s="182">
        <f ca="1">AC30/'1-1-2025'!AC30</f>
        <v>1.0554621848739496</v>
      </c>
    </row>
    <row r="31" spans="1:35" s="125" customFormat="1">
      <c r="A31" s="184">
        <f ca="1">S31</f>
        <v>1543.3229051564883</v>
      </c>
      <c r="B31" s="112"/>
      <c r="C31" s="119" t="s">
        <v>26</v>
      </c>
      <c r="D31" s="178"/>
      <c r="E31" s="178"/>
      <c r="F31" s="178"/>
      <c r="G31" s="178"/>
      <c r="H31" s="93"/>
      <c r="I31" s="93"/>
      <c r="J31" s="93"/>
      <c r="K31" s="93"/>
      <c r="L31" s="93"/>
      <c r="M31" s="93"/>
      <c r="N31" s="93"/>
      <c r="O31" s="160" t="s">
        <v>176</v>
      </c>
      <c r="P31" s="160" t="s">
        <v>180</v>
      </c>
      <c r="Q31" s="159"/>
      <c r="R31" s="159"/>
      <c r="S31" s="159" cm="1">
        <f t="array" aca="1" ref="S31" ca="1">IF($O31="Y",VLOOKUP($P31,INDIRECT($P$3),S$7,0)*INDIRECT($P$2),VLOOKUP($P31,INDIRECT($P$3),S$7,0))*$Q$4</f>
        <v>1543.3229051564883</v>
      </c>
      <c r="T31" s="152"/>
      <c r="U31" s="154"/>
      <c r="V31" s="154"/>
      <c r="W31" s="152"/>
      <c r="X31" s="152"/>
      <c r="Y31" s="167" t="str">
        <f t="shared" si="10"/>
        <v>Y</v>
      </c>
      <c r="Z31" s="167" t="str">
        <f t="shared" si="10"/>
        <v>Long20</v>
      </c>
      <c r="AA31" s="168"/>
      <c r="AB31" s="167"/>
      <c r="AC31" s="169">
        <f t="shared" ca="1" si="11"/>
        <v>0.74199999999999999</v>
      </c>
      <c r="AD31" s="170"/>
      <c r="AE31" s="170"/>
      <c r="AF31" s="170"/>
      <c r="AG31" s="170"/>
      <c r="AH31" s="170"/>
      <c r="AI31" s="182">
        <f ca="1">AC31/'1-1-2025'!AC31</f>
        <v>1.0554765291607398</v>
      </c>
    </row>
    <row r="32" spans="1:35" s="125" customFormat="1">
      <c r="A32" s="184">
        <f ca="1">S32</f>
        <v>1817.3222121769486</v>
      </c>
      <c r="B32" s="112"/>
      <c r="C32" s="119" t="s">
        <v>27</v>
      </c>
      <c r="D32" s="105"/>
      <c r="E32" s="104"/>
      <c r="F32" s="104"/>
      <c r="G32" s="93"/>
      <c r="H32" s="93"/>
      <c r="I32" s="93"/>
      <c r="J32" s="93"/>
      <c r="K32" s="93"/>
      <c r="L32" s="93"/>
      <c r="M32" s="93"/>
      <c r="N32" s="93"/>
      <c r="O32" s="160" t="s">
        <v>176</v>
      </c>
      <c r="P32" s="160" t="s">
        <v>181</v>
      </c>
      <c r="Q32" s="159"/>
      <c r="R32" s="159"/>
      <c r="S32" s="159" cm="1">
        <f t="array" aca="1" ref="S32" ca="1">IF($O32="Y",VLOOKUP($P32,INDIRECT($P$3),S$7,0)*INDIRECT($P$2),VLOOKUP($P32,INDIRECT($P$3),S$7,0))*$Q$4</f>
        <v>1817.3222121769486</v>
      </c>
      <c r="T32" s="154"/>
      <c r="U32" s="154"/>
      <c r="V32" s="154"/>
      <c r="W32" s="152"/>
      <c r="X32" s="152"/>
      <c r="Y32" s="167" t="str">
        <f t="shared" si="10"/>
        <v>Y</v>
      </c>
      <c r="Z32" s="167" t="str">
        <f t="shared" si="10"/>
        <v>Long25</v>
      </c>
      <c r="AA32" s="168"/>
      <c r="AB32" s="167"/>
      <c r="AC32" s="169">
        <f t="shared" ca="1" si="11"/>
        <v>0.874</v>
      </c>
      <c r="AD32" s="170"/>
      <c r="AE32" s="170"/>
      <c r="AF32" s="170"/>
      <c r="AG32" s="170"/>
      <c r="AH32" s="170"/>
      <c r="AI32" s="182">
        <f ca="1">AC32/'1-1-2025'!AC32</f>
        <v>1.0555555555555556</v>
      </c>
    </row>
    <row r="33" spans="1:35" s="125" customFormat="1">
      <c r="A33" s="104"/>
      <c r="B33" s="104"/>
      <c r="C33" s="104"/>
      <c r="D33" s="105"/>
      <c r="E33" s="104"/>
      <c r="F33" s="104"/>
      <c r="G33" s="93"/>
      <c r="H33" s="93"/>
      <c r="I33" s="93"/>
      <c r="J33" s="93"/>
      <c r="K33" s="93"/>
      <c r="L33" s="93"/>
      <c r="M33" s="93"/>
      <c r="N33" s="93"/>
      <c r="O33" s="152"/>
      <c r="P33" s="160"/>
      <c r="Q33" s="152"/>
      <c r="R33" s="152"/>
      <c r="S33" s="152"/>
      <c r="T33" s="152"/>
      <c r="U33" s="154"/>
      <c r="V33" s="154"/>
      <c r="W33" s="152"/>
      <c r="X33" s="152"/>
      <c r="Y33" s="170"/>
      <c r="Z33" s="170"/>
      <c r="AA33" s="171"/>
      <c r="AB33" s="170"/>
      <c r="AC33" s="170"/>
      <c r="AD33" s="170"/>
      <c r="AE33" s="170"/>
      <c r="AF33" s="170"/>
      <c r="AG33" s="170"/>
      <c r="AH33" s="170"/>
      <c r="AI33" s="180"/>
    </row>
    <row r="34" spans="1:35" s="125" customFormat="1">
      <c r="A34" s="93" t="s">
        <v>185</v>
      </c>
      <c r="B34" s="112"/>
      <c r="C34" s="93"/>
      <c r="D34" s="93"/>
      <c r="E34" s="93"/>
      <c r="F34" s="93"/>
      <c r="G34" s="93"/>
      <c r="H34" s="93"/>
      <c r="I34" s="93"/>
      <c r="J34" s="93"/>
      <c r="K34" s="93"/>
      <c r="L34" s="93"/>
      <c r="M34" s="93"/>
      <c r="N34" s="93"/>
      <c r="O34" s="152"/>
      <c r="P34" s="160"/>
      <c r="Q34" s="152"/>
      <c r="R34" s="152"/>
      <c r="S34" s="152"/>
      <c r="T34" s="152"/>
      <c r="U34" s="154"/>
      <c r="V34" s="154"/>
      <c r="W34" s="152"/>
      <c r="X34" s="152"/>
      <c r="Y34" s="170"/>
      <c r="Z34" s="170"/>
      <c r="AA34" s="171"/>
      <c r="AB34" s="170"/>
      <c r="AC34" s="170"/>
      <c r="AD34" s="170"/>
      <c r="AE34" s="170"/>
      <c r="AF34" s="170"/>
      <c r="AG34" s="170"/>
      <c r="AH34" s="170"/>
    </row>
    <row r="41" spans="1:35">
      <c r="A41" s="177" t="str">
        <f>A7</f>
        <v>Last updated February 27, 2026</v>
      </c>
      <c r="M41" s="93" t="s">
        <v>201</v>
      </c>
    </row>
  </sheetData>
  <sheetProtection sheet="1" objects="1" scenarios="1"/>
  <autoFilter ref="A9:AI21" xr:uid="{76B23ACA-81A2-4E04-84FF-0A967DEF8562}"/>
  <mergeCells count="3">
    <mergeCell ref="A2:L2"/>
    <mergeCell ref="H3:I3"/>
    <mergeCell ref="A5:C5"/>
  </mergeCells>
  <pageMargins left="0.25" right="0.25" top="1" bottom="0.5" header="0.5" footer="0.5"/>
  <pageSetup scale="96" orientation="landscape"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16553-D665-4675-8A14-639A066EA552}">
  <dimension ref="A1:AI41"/>
  <sheetViews>
    <sheetView showGridLines="0" zoomScaleNormal="100" workbookViewId="0">
      <selection activeCell="O1" sqref="O1:AI1048576"/>
    </sheetView>
  </sheetViews>
  <sheetFormatPr defaultColWidth="9.265625" defaultRowHeight="13.15"/>
  <cols>
    <col min="1" max="1" width="10" style="93" customWidth="1"/>
    <col min="2" max="2" width="8.265625" style="112" bestFit="1" customWidth="1"/>
    <col min="3" max="3" width="9" style="93" customWidth="1"/>
    <col min="4" max="4" width="30.265625" style="93" bestFit="1" customWidth="1"/>
    <col min="5" max="6" width="5.73046875" style="93" bestFit="1" customWidth="1"/>
    <col min="7" max="7" width="4.73046875" style="93" bestFit="1" customWidth="1"/>
    <col min="8" max="8" width="11.73046875" style="93" customWidth="1"/>
    <col min="9" max="9" width="10.265625" style="93" customWidth="1"/>
    <col min="10" max="10" width="9.73046875" style="93" customWidth="1"/>
    <col min="11" max="12" width="10.59765625" style="93" customWidth="1"/>
    <col min="13" max="13" width="10" style="93" bestFit="1" customWidth="1"/>
    <col min="14" max="14" width="9.265625" style="93" customWidth="1"/>
    <col min="15" max="15" width="10.265625" style="152" hidden="1" customWidth="1"/>
    <col min="16" max="16" width="13.59765625" style="160" hidden="1" customWidth="1"/>
    <col min="17" max="17" width="30.265625" style="152" hidden="1" customWidth="1"/>
    <col min="18" max="18" width="5.3984375" style="152" hidden="1" customWidth="1"/>
    <col min="19" max="20" width="8.3984375" style="152" hidden="1" customWidth="1"/>
    <col min="21" max="22" width="8.3984375" style="154" hidden="1" customWidth="1"/>
    <col min="23" max="24" width="8.3984375" style="152" hidden="1" customWidth="1"/>
    <col min="25" max="25" width="10.3984375" style="162" hidden="1" customWidth="1"/>
    <col min="26" max="26" width="7.73046875" style="162" hidden="1" customWidth="1"/>
    <col min="27" max="27" width="30.265625" style="163" hidden="1" customWidth="1"/>
    <col min="28" max="28" width="8.265625" style="162" hidden="1" customWidth="1"/>
    <col min="29" max="34" width="7.3984375" style="162" hidden="1" customWidth="1"/>
    <col min="35" max="35" width="0" style="93" hidden="1" customWidth="1"/>
    <col min="36" max="16384" width="9.265625" style="93"/>
  </cols>
  <sheetData>
    <row r="1" spans="1:35" ht="23.25">
      <c r="A1" s="179" t="s">
        <v>199</v>
      </c>
    </row>
    <row r="2" spans="1:35" ht="21">
      <c r="A2" s="187" t="s">
        <v>0</v>
      </c>
      <c r="B2" s="187"/>
      <c r="C2" s="187"/>
      <c r="D2" s="187"/>
      <c r="E2" s="187"/>
      <c r="F2" s="187"/>
      <c r="G2" s="187"/>
      <c r="H2" s="187"/>
      <c r="I2" s="187"/>
      <c r="J2" s="187"/>
      <c r="K2" s="187"/>
      <c r="L2" s="187"/>
      <c r="P2" s="160" t="s">
        <v>216</v>
      </c>
      <c r="Q2" s="181">
        <v>1.03</v>
      </c>
    </row>
    <row r="3" spans="1:35">
      <c r="A3" s="94"/>
      <c r="B3" s="95"/>
      <c r="C3" s="96"/>
      <c r="D3" s="95"/>
      <c r="E3" s="95"/>
      <c r="F3" s="178"/>
      <c r="G3" s="178"/>
      <c r="H3" s="188"/>
      <c r="I3" s="188"/>
      <c r="J3" s="178"/>
      <c r="K3" s="178"/>
      <c r="L3" s="178"/>
      <c r="P3" s="160" t="s">
        <v>209</v>
      </c>
      <c r="Q3" s="181"/>
    </row>
    <row r="4" spans="1:35">
      <c r="A4" s="94" t="s">
        <v>1</v>
      </c>
      <c r="B4" s="178"/>
      <c r="C4" s="94"/>
      <c r="D4" s="178"/>
      <c r="E4" s="178"/>
      <c r="F4" s="178"/>
      <c r="G4" s="178"/>
      <c r="H4" s="178"/>
      <c r="I4" s="178"/>
      <c r="J4" s="178"/>
      <c r="K4" s="178"/>
      <c r="L4" s="178"/>
      <c r="Q4" s="181"/>
    </row>
    <row r="5" spans="1:35">
      <c r="A5" s="189" t="s">
        <v>213</v>
      </c>
      <c r="B5" s="189"/>
      <c r="C5" s="189"/>
      <c r="D5" s="98"/>
      <c r="E5" s="98"/>
      <c r="F5" s="98"/>
      <c r="G5" s="98"/>
      <c r="H5" s="98"/>
      <c r="I5" s="178"/>
      <c r="J5" s="178"/>
      <c r="K5" s="178"/>
      <c r="L5" s="178"/>
    </row>
    <row r="6" spans="1:35">
      <c r="A6" s="151" t="str">
        <f>TEXT(Q2-1,"#.00%")&amp;" Increase"</f>
        <v>3.00% Increase</v>
      </c>
      <c r="C6" s="94"/>
      <c r="D6" s="178"/>
      <c r="E6" s="178"/>
      <c r="F6" s="178"/>
      <c r="G6" s="178"/>
      <c r="H6" s="178"/>
      <c r="I6" s="178"/>
      <c r="J6" s="178"/>
      <c r="K6" s="178"/>
      <c r="L6" s="178"/>
    </row>
    <row r="7" spans="1:35">
      <c r="A7" s="96" t="s">
        <v>211</v>
      </c>
      <c r="B7" s="94"/>
      <c r="C7" s="94"/>
      <c r="D7" s="178"/>
      <c r="E7" s="178"/>
      <c r="F7" s="178"/>
      <c r="G7" s="178"/>
      <c r="H7" s="178"/>
      <c r="I7" s="178"/>
      <c r="J7" s="178"/>
      <c r="K7" s="178"/>
      <c r="L7" s="178"/>
      <c r="S7" s="161">
        <v>4</v>
      </c>
      <c r="T7" s="161">
        <v>5</v>
      </c>
      <c r="U7" s="161">
        <v>6</v>
      </c>
      <c r="V7" s="161">
        <v>7</v>
      </c>
      <c r="W7" s="161">
        <v>8</v>
      </c>
      <c r="X7" s="161">
        <v>9</v>
      </c>
    </row>
    <row r="8" spans="1:35">
      <c r="A8" s="94"/>
      <c r="B8" s="94"/>
      <c r="C8" s="94"/>
      <c r="D8" s="178"/>
      <c r="E8" s="178"/>
      <c r="F8" s="178"/>
      <c r="G8" s="178"/>
      <c r="H8" s="178"/>
      <c r="I8" s="178"/>
      <c r="J8" s="178"/>
      <c r="K8" s="178"/>
      <c r="L8" s="178"/>
      <c r="M8" s="141">
        <v>34.525197001003797</v>
      </c>
      <c r="O8" s="174" t="s">
        <v>197</v>
      </c>
      <c r="Y8" s="175" t="s">
        <v>196</v>
      </c>
    </row>
    <row r="9" spans="1:35" ht="30.75" customHeight="1" thickBot="1">
      <c r="A9" s="126" t="s">
        <v>36</v>
      </c>
      <c r="B9" s="126" t="s">
        <v>37</v>
      </c>
      <c r="C9" s="126" t="s">
        <v>2</v>
      </c>
      <c r="D9" s="126" t="s">
        <v>38</v>
      </c>
      <c r="E9" s="126" t="s">
        <v>39</v>
      </c>
      <c r="F9" s="126" t="s">
        <v>40</v>
      </c>
      <c r="G9" s="127" t="s">
        <v>131</v>
      </c>
      <c r="H9" s="102" t="s">
        <v>41</v>
      </c>
      <c r="I9" s="102" t="s">
        <v>42</v>
      </c>
      <c r="J9" s="102" t="s">
        <v>43</v>
      </c>
      <c r="K9" s="102" t="s">
        <v>44</v>
      </c>
      <c r="L9" s="102" t="s">
        <v>45</v>
      </c>
      <c r="M9" s="102" t="s">
        <v>46</v>
      </c>
      <c r="N9" s="103"/>
      <c r="O9" s="156" t="s">
        <v>175</v>
      </c>
      <c r="P9" s="155" t="s">
        <v>36</v>
      </c>
      <c r="Q9" s="155" t="s">
        <v>38</v>
      </c>
      <c r="R9" s="155" t="s">
        <v>37</v>
      </c>
      <c r="S9" s="156" t="s">
        <v>41</v>
      </c>
      <c r="T9" s="156" t="s">
        <v>42</v>
      </c>
      <c r="U9" s="156" t="s">
        <v>43</v>
      </c>
      <c r="V9" s="156" t="s">
        <v>44</v>
      </c>
      <c r="W9" s="156" t="s">
        <v>45</v>
      </c>
      <c r="X9" s="156" t="s">
        <v>46</v>
      </c>
      <c r="Y9" s="164" t="s">
        <v>175</v>
      </c>
      <c r="Z9" s="165" t="s">
        <v>36</v>
      </c>
      <c r="AA9" s="166" t="s">
        <v>38</v>
      </c>
      <c r="AB9" s="165" t="s">
        <v>37</v>
      </c>
      <c r="AC9" s="164" t="s">
        <v>41</v>
      </c>
      <c r="AD9" s="164" t="s">
        <v>42</v>
      </c>
      <c r="AE9" s="164" t="s">
        <v>43</v>
      </c>
      <c r="AF9" s="164" t="s">
        <v>44</v>
      </c>
      <c r="AG9" s="164" t="s">
        <v>45</v>
      </c>
      <c r="AH9" s="164" t="s">
        <v>46</v>
      </c>
    </row>
    <row r="10" spans="1:35" ht="12.75" customHeight="1" thickTop="1">
      <c r="A10" s="104" t="s">
        <v>8</v>
      </c>
      <c r="B10" s="138" t="s">
        <v>159</v>
      </c>
      <c r="C10" s="104" t="s">
        <v>48</v>
      </c>
      <c r="D10" s="105" t="s">
        <v>99</v>
      </c>
      <c r="E10" s="104">
        <v>395</v>
      </c>
      <c r="F10" s="104">
        <v>8</v>
      </c>
      <c r="G10" s="93" t="s">
        <v>6</v>
      </c>
      <c r="H10" s="106">
        <f t="shared" ref="H10:M21" ca="1" si="0">S10</f>
        <v>84488.694551823181</v>
      </c>
      <c r="I10" s="106">
        <f t="shared" ca="1" si="0"/>
        <v>87863.368391182375</v>
      </c>
      <c r="J10" s="106">
        <f t="shared" ca="1" si="0"/>
        <v>91373.029184115934</v>
      </c>
      <c r="K10" s="106">
        <f t="shared" ca="1" si="0"/>
        <v>95023.076408766807</v>
      </c>
      <c r="L10" s="106">
        <f t="shared" ca="1" si="0"/>
        <v>98819.12552240373</v>
      </c>
      <c r="M10" s="106">
        <f t="shared" ca="1" si="0"/>
        <v>102767.01660058611</v>
      </c>
      <c r="N10" s="106"/>
      <c r="O10" s="157" t="s">
        <v>176</v>
      </c>
      <c r="P10" s="160" t="str">
        <f t="shared" ref="P10:P21" si="1">A10</f>
        <v>03960C</v>
      </c>
      <c r="Q10" s="152" t="str">
        <f t="shared" ref="Q10:Q21" si="2">D10</f>
        <v>Engineer</v>
      </c>
      <c r="R10" s="158" t="str">
        <f t="shared" ref="R10:R21" si="3">B10</f>
        <v>13</v>
      </c>
      <c r="S10" s="159" cm="1">
        <f t="array" aca="1" ref="S10" ca="1">IF($O10="Y",VLOOKUP($P10,INDIRECT($P$3),S$7,0)*INDIRECT($P$2),VLOOKUP($P10,INDIRECT($P$3),S$7,0))</f>
        <v>84488.694551823181</v>
      </c>
      <c r="T10" s="159" cm="1">
        <f t="array" aca="1" ref="T10" ca="1">IF($O10="Y",VLOOKUP($P10,INDIRECT($P$3),T$7,0)*INDIRECT($P$2),VLOOKUP($P10,INDIRECT($P$3),T$7,0))</f>
        <v>87863.368391182375</v>
      </c>
      <c r="U10" s="159" cm="1">
        <f t="array" aca="1" ref="U10" ca="1">IF($O10="Y",VLOOKUP($P10,INDIRECT($P$3),U$7,0)*INDIRECT($P$2),VLOOKUP($P10,INDIRECT($P$3),U$7,0))</f>
        <v>91373.029184115934</v>
      </c>
      <c r="V10" s="159" cm="1">
        <f t="array" aca="1" ref="V10" ca="1">IF($O10="Y",VLOOKUP($P10,INDIRECT($P$3),V$7,0)*INDIRECT($P$2),VLOOKUP($P10,INDIRECT($P$3),V$7,0))</f>
        <v>95023.076408766807</v>
      </c>
      <c r="W10" s="159" cm="1">
        <f t="array" aca="1" ref="W10" ca="1">IF($O10="Y",VLOOKUP($P10,INDIRECT($P$3),W$7,0)*INDIRECT($P$2),VLOOKUP($P10,INDIRECT($P$3),W$7,0))</f>
        <v>98819.12552240373</v>
      </c>
      <c r="X10" s="159" cm="1">
        <f t="array" aca="1" ref="X10" ca="1">IF($O10="Y",VLOOKUP($P10,INDIRECT($P$3),X$7,0)*INDIRECT($P$2),VLOOKUP($P10,INDIRECT($P$3),X$7,0))</f>
        <v>102767.01660058611</v>
      </c>
      <c r="Y10" s="167" t="str">
        <f t="shared" ref="Y10:AB21" si="4">O10</f>
        <v>Y</v>
      </c>
      <c r="Z10" s="167" t="str">
        <f t="shared" si="4"/>
        <v>03960C</v>
      </c>
      <c r="AA10" s="168" t="str">
        <f t="shared" si="4"/>
        <v>Engineer</v>
      </c>
      <c r="AB10" s="167" t="str">
        <f t="shared" si="4"/>
        <v>13</v>
      </c>
      <c r="AC10" s="169">
        <f t="shared" ref="AC10:AH21" ca="1" si="5">ROUND(S10/2080,3)</f>
        <v>40.619999999999997</v>
      </c>
      <c r="AD10" s="169">
        <f t="shared" ca="1" si="5"/>
        <v>42.241999999999997</v>
      </c>
      <c r="AE10" s="169">
        <f t="shared" ca="1" si="5"/>
        <v>43.929000000000002</v>
      </c>
      <c r="AF10" s="169">
        <f t="shared" ca="1" si="5"/>
        <v>45.683999999999997</v>
      </c>
      <c r="AG10" s="169">
        <f t="shared" ca="1" si="5"/>
        <v>47.509</v>
      </c>
      <c r="AH10" s="169">
        <f t="shared" ca="1" si="5"/>
        <v>49.406999999999996</v>
      </c>
      <c r="AI10" s="182">
        <f ca="1">AH10/'1-1-2026'!AH10</f>
        <v>1.0299991661107404</v>
      </c>
    </row>
    <row r="11" spans="1:35" ht="12.75" customHeight="1">
      <c r="A11" s="104" t="s">
        <v>78</v>
      </c>
      <c r="B11" s="138" t="s">
        <v>160</v>
      </c>
      <c r="C11" s="104" t="s">
        <v>48</v>
      </c>
      <c r="D11" s="105" t="s">
        <v>92</v>
      </c>
      <c r="E11" s="104">
        <v>470</v>
      </c>
      <c r="F11" s="104">
        <v>10</v>
      </c>
      <c r="G11" s="93" t="s">
        <v>6</v>
      </c>
      <c r="H11" s="106">
        <f t="shared" ca="1" si="0"/>
        <v>107999.71425896572</v>
      </c>
      <c r="I11" s="106">
        <f t="shared" ca="1" si="0"/>
        <v>113405.48828239994</v>
      </c>
      <c r="J11" s="106">
        <f t="shared" ca="1" si="0"/>
        <v>119071.62298542913</v>
      </c>
      <c r="K11" s="106">
        <f t="shared" ca="1" si="0"/>
        <v>124999.74888700015</v>
      </c>
      <c r="L11" s="106">
        <f t="shared" ca="1" si="0"/>
        <v>131167.33983298353</v>
      </c>
      <c r="M11" s="106"/>
      <c r="N11" s="106"/>
      <c r="O11" s="157" t="s">
        <v>176</v>
      </c>
      <c r="P11" s="160" t="str">
        <f t="shared" si="1"/>
        <v>04106C</v>
      </c>
      <c r="Q11" s="152" t="str">
        <f t="shared" si="2"/>
        <v xml:space="preserve">Environmental Engineer </v>
      </c>
      <c r="R11" s="158" t="str">
        <f t="shared" si="3"/>
        <v>01</v>
      </c>
      <c r="S11" s="159" cm="1">
        <f t="array" aca="1" ref="S11" ca="1">IF($O11="Y",VLOOKUP($P11,INDIRECT($P$3),S$7,0)*INDIRECT($P$2),VLOOKUP($P11,INDIRECT($P$3),S$7,0))</f>
        <v>107999.71425896572</v>
      </c>
      <c r="T11" s="159" cm="1">
        <f t="array" aca="1" ref="T11" ca="1">IF($O11="Y",VLOOKUP($P11,INDIRECT($P$3),T$7,0)*INDIRECT($P$2),VLOOKUP($P11,INDIRECT($P$3),T$7,0))</f>
        <v>113405.48828239994</v>
      </c>
      <c r="U11" s="159" cm="1">
        <f t="array" aca="1" ref="U11" ca="1">IF($O11="Y",VLOOKUP($P11,INDIRECT($P$3),U$7,0)*INDIRECT($P$2),VLOOKUP($P11,INDIRECT($P$3),U$7,0))</f>
        <v>119071.62298542913</v>
      </c>
      <c r="V11" s="159" cm="1">
        <f t="array" aca="1" ref="V11" ca="1">IF($O11="Y",VLOOKUP($P11,INDIRECT($P$3),V$7,0)*INDIRECT($P$2),VLOOKUP($P11,INDIRECT($P$3),V$7,0))</f>
        <v>124999.74888700015</v>
      </c>
      <c r="W11" s="159" cm="1">
        <f t="array" aca="1" ref="W11" ca="1">IF($O11="Y",VLOOKUP($P11,INDIRECT($P$3),W$7,0)*INDIRECT($P$2),VLOOKUP($P11,INDIRECT($P$3),W$7,0))</f>
        <v>131167.33983298353</v>
      </c>
      <c r="X11" s="159" cm="1">
        <f t="array" aca="1" ref="X11" ca="1">IF($O11="Y",VLOOKUP($P11,INDIRECT($P$3),X$7,0)*INDIRECT($P$2),VLOOKUP($P11,INDIRECT($P$3),X$7,0))</f>
        <v>0</v>
      </c>
      <c r="Y11" s="167" t="str">
        <f t="shared" si="4"/>
        <v>Y</v>
      </c>
      <c r="Z11" s="167" t="str">
        <f t="shared" si="4"/>
        <v>04106C</v>
      </c>
      <c r="AA11" s="168" t="str">
        <f t="shared" si="4"/>
        <v xml:space="preserve">Environmental Engineer </v>
      </c>
      <c r="AB11" s="167" t="str">
        <f t="shared" si="4"/>
        <v>01</v>
      </c>
      <c r="AC11" s="169">
        <f t="shared" ca="1" si="5"/>
        <v>51.923000000000002</v>
      </c>
      <c r="AD11" s="169">
        <f t="shared" ca="1" si="5"/>
        <v>54.521999999999998</v>
      </c>
      <c r="AE11" s="169">
        <f t="shared" ca="1" si="5"/>
        <v>57.246000000000002</v>
      </c>
      <c r="AF11" s="169">
        <f t="shared" ca="1" si="5"/>
        <v>60.095999999999997</v>
      </c>
      <c r="AG11" s="169">
        <f t="shared" ca="1" si="5"/>
        <v>63.061</v>
      </c>
      <c r="AH11" s="169">
        <f t="shared" ca="1" si="5"/>
        <v>0</v>
      </c>
      <c r="AI11" s="182">
        <f ca="1">AH11/'1-1-2026'!AG11</f>
        <v>0</v>
      </c>
    </row>
    <row r="12" spans="1:35" ht="12.75" customHeight="1">
      <c r="A12" s="104" t="s">
        <v>13</v>
      </c>
      <c r="B12" s="138" t="s">
        <v>160</v>
      </c>
      <c r="C12" s="104" t="s">
        <v>48</v>
      </c>
      <c r="D12" s="105" t="s">
        <v>100</v>
      </c>
      <c r="E12" s="104">
        <v>470</v>
      </c>
      <c r="F12" s="104">
        <v>10</v>
      </c>
      <c r="G12" s="93" t="s">
        <v>6</v>
      </c>
      <c r="H12" s="106">
        <f t="shared" ca="1" si="0"/>
        <v>107999.71425896572</v>
      </c>
      <c r="I12" s="106">
        <f t="shared" ca="1" si="0"/>
        <v>113405.48828239994</v>
      </c>
      <c r="J12" s="106">
        <f t="shared" ca="1" si="0"/>
        <v>119071.62298542913</v>
      </c>
      <c r="K12" s="106">
        <f t="shared" ca="1" si="0"/>
        <v>124999.74888700015</v>
      </c>
      <c r="L12" s="106">
        <f t="shared" ca="1" si="0"/>
        <v>131167.33983298353</v>
      </c>
      <c r="M12" s="106"/>
      <c r="N12" s="106"/>
      <c r="O12" s="157" t="s">
        <v>176</v>
      </c>
      <c r="P12" s="160" t="str">
        <f t="shared" si="1"/>
        <v>07890C</v>
      </c>
      <c r="Q12" s="152" t="str">
        <f t="shared" si="2"/>
        <v>Plan Examiner II Engineer</v>
      </c>
      <c r="R12" s="158" t="str">
        <f t="shared" si="3"/>
        <v>01</v>
      </c>
      <c r="S12" s="159" cm="1">
        <f t="array" aca="1" ref="S12" ca="1">IF($O12="Y",VLOOKUP($P12,INDIRECT($P$3),S$7,0)*INDIRECT($P$2),VLOOKUP($P12,INDIRECT($P$3),S$7,0))</f>
        <v>107999.71425896572</v>
      </c>
      <c r="T12" s="159" cm="1">
        <f t="array" aca="1" ref="T12" ca="1">IF($O12="Y",VLOOKUP($P12,INDIRECT($P$3),T$7,0)*INDIRECT($P$2),VLOOKUP($P12,INDIRECT($P$3),T$7,0))</f>
        <v>113405.48828239994</v>
      </c>
      <c r="U12" s="159" cm="1">
        <f t="array" aca="1" ref="U12" ca="1">IF($O12="Y",VLOOKUP($P12,INDIRECT($P$3),U$7,0)*INDIRECT($P$2),VLOOKUP($P12,INDIRECT($P$3),U$7,0))</f>
        <v>119071.62298542913</v>
      </c>
      <c r="V12" s="159" cm="1">
        <f t="array" aca="1" ref="V12" ca="1">IF($O12="Y",VLOOKUP($P12,INDIRECT($P$3),V$7,0)*INDIRECT($P$2),VLOOKUP($P12,INDIRECT($P$3),V$7,0))</f>
        <v>124999.74888700015</v>
      </c>
      <c r="W12" s="159" cm="1">
        <f t="array" aca="1" ref="W12" ca="1">IF($O12="Y",VLOOKUP($P12,INDIRECT($P$3),W$7,0)*INDIRECT($P$2),VLOOKUP($P12,INDIRECT($P$3),W$7,0))</f>
        <v>131167.33983298353</v>
      </c>
      <c r="X12" s="159" cm="1">
        <f t="array" aca="1" ref="X12" ca="1">IF($O12="Y",VLOOKUP($P12,INDIRECT($P$3),X$7,0)*INDIRECT($P$2),VLOOKUP($P12,INDIRECT($P$3),X$7,0))</f>
        <v>0</v>
      </c>
      <c r="Y12" s="167" t="str">
        <f t="shared" si="4"/>
        <v>Y</v>
      </c>
      <c r="Z12" s="167" t="str">
        <f t="shared" si="4"/>
        <v>07890C</v>
      </c>
      <c r="AA12" s="168" t="str">
        <f t="shared" si="4"/>
        <v>Plan Examiner II Engineer</v>
      </c>
      <c r="AB12" s="167" t="str">
        <f t="shared" si="4"/>
        <v>01</v>
      </c>
      <c r="AC12" s="169">
        <f t="shared" ca="1" si="5"/>
        <v>51.923000000000002</v>
      </c>
      <c r="AD12" s="169">
        <f t="shared" ca="1" si="5"/>
        <v>54.521999999999998</v>
      </c>
      <c r="AE12" s="169">
        <f t="shared" ca="1" si="5"/>
        <v>57.246000000000002</v>
      </c>
      <c r="AF12" s="169">
        <f t="shared" ca="1" si="5"/>
        <v>60.095999999999997</v>
      </c>
      <c r="AG12" s="169">
        <f t="shared" ca="1" si="5"/>
        <v>63.061</v>
      </c>
      <c r="AH12" s="169">
        <f t="shared" ca="1" si="5"/>
        <v>0</v>
      </c>
      <c r="AI12" s="182">
        <f ca="1">AH12/'1-1-2026'!AG12</f>
        <v>0</v>
      </c>
    </row>
    <row r="13" spans="1:35" ht="12.75" customHeight="1">
      <c r="A13" s="104" t="s">
        <v>9</v>
      </c>
      <c r="B13" s="138" t="s">
        <v>161</v>
      </c>
      <c r="C13" s="104" t="s">
        <v>48</v>
      </c>
      <c r="D13" s="105" t="s">
        <v>101</v>
      </c>
      <c r="E13" s="104">
        <v>578</v>
      </c>
      <c r="F13" s="104">
        <v>12</v>
      </c>
      <c r="G13" s="93" t="s">
        <v>6</v>
      </c>
      <c r="H13" s="106">
        <f t="shared" ca="1" si="0"/>
        <v>123470.10290825272</v>
      </c>
      <c r="I13" s="106">
        <f t="shared" ca="1" si="0"/>
        <v>129626.1863892143</v>
      </c>
      <c r="J13" s="106">
        <f t="shared" ca="1" si="0"/>
        <v>136122.14535627273</v>
      </c>
      <c r="K13" s="106">
        <f t="shared" ca="1" si="0"/>
        <v>142918.09132449864</v>
      </c>
      <c r="L13" s="106">
        <f t="shared" ca="1" si="0"/>
        <v>150053.91437448849</v>
      </c>
      <c r="M13" s="106">
        <f t="shared" ca="1" si="0"/>
        <v>157458.9047628461</v>
      </c>
      <c r="N13" s="106"/>
      <c r="O13" s="157" t="s">
        <v>176</v>
      </c>
      <c r="P13" s="160" t="str">
        <f t="shared" si="1"/>
        <v>04000C</v>
      </c>
      <c r="Q13" s="152" t="str">
        <f t="shared" si="2"/>
        <v>Principal Professional Engr</v>
      </c>
      <c r="R13" s="158" t="str">
        <f t="shared" si="3"/>
        <v>04</v>
      </c>
      <c r="S13" s="159" cm="1">
        <f t="array" aca="1" ref="S13" ca="1">IF($O13="Y",VLOOKUP($P13,INDIRECT($P$3),S$7,0)*INDIRECT($P$2),VLOOKUP($P13,INDIRECT($P$3),S$7,0))</f>
        <v>123470.10290825272</v>
      </c>
      <c r="T13" s="159" cm="1">
        <f t="array" aca="1" ref="T13" ca="1">IF($O13="Y",VLOOKUP($P13,INDIRECT($P$3),T$7,0)*INDIRECT($P$2),VLOOKUP($P13,INDIRECT($P$3),T$7,0))</f>
        <v>129626.1863892143</v>
      </c>
      <c r="U13" s="159" cm="1">
        <f t="array" aca="1" ref="U13" ca="1">IF($O13="Y",VLOOKUP($P13,INDIRECT($P$3),U$7,0)*INDIRECT($P$2),VLOOKUP($P13,INDIRECT($P$3),U$7,0))</f>
        <v>136122.14535627273</v>
      </c>
      <c r="V13" s="159" cm="1">
        <f t="array" aca="1" ref="V13" ca="1">IF($O13="Y",VLOOKUP($P13,INDIRECT($P$3),V$7,0)*INDIRECT($P$2),VLOOKUP($P13,INDIRECT($P$3),V$7,0))</f>
        <v>142918.09132449864</v>
      </c>
      <c r="W13" s="159" cm="1">
        <f t="array" aca="1" ref="W13" ca="1">IF($O13="Y",VLOOKUP($P13,INDIRECT($P$3),W$7,0)*INDIRECT($P$2),VLOOKUP($P13,INDIRECT($P$3),W$7,0))</f>
        <v>150053.91437448849</v>
      </c>
      <c r="X13" s="159" cm="1">
        <f t="array" aca="1" ref="X13" ca="1">IF($O13="Y",VLOOKUP($P13,INDIRECT($P$3),X$7,0)*INDIRECT($P$2),VLOOKUP($P13,INDIRECT($P$3),X$7,0))</f>
        <v>157458.9047628461</v>
      </c>
      <c r="Y13" s="167" t="str">
        <f t="shared" si="4"/>
        <v>Y</v>
      </c>
      <c r="Z13" s="167" t="str">
        <f t="shared" si="4"/>
        <v>04000C</v>
      </c>
      <c r="AA13" s="168" t="str">
        <f t="shared" si="4"/>
        <v>Principal Professional Engr</v>
      </c>
      <c r="AB13" s="167" t="str">
        <f t="shared" si="4"/>
        <v>04</v>
      </c>
      <c r="AC13" s="169">
        <f t="shared" ca="1" si="5"/>
        <v>59.360999999999997</v>
      </c>
      <c r="AD13" s="169">
        <f t="shared" ca="1" si="5"/>
        <v>62.32</v>
      </c>
      <c r="AE13" s="169">
        <f t="shared" ca="1" si="5"/>
        <v>65.442999999999998</v>
      </c>
      <c r="AF13" s="169">
        <f t="shared" ca="1" si="5"/>
        <v>68.710999999999999</v>
      </c>
      <c r="AG13" s="169">
        <f t="shared" ca="1" si="5"/>
        <v>72.141000000000005</v>
      </c>
      <c r="AH13" s="169">
        <f t="shared" ca="1" si="5"/>
        <v>75.700999999999993</v>
      </c>
      <c r="AI13" s="182">
        <f ca="1">AH13/'1-1-2026'!AH13</f>
        <v>1.0299876185422534</v>
      </c>
    </row>
    <row r="14" spans="1:35" ht="12.75" customHeight="1">
      <c r="A14" s="104" t="s">
        <v>10</v>
      </c>
      <c r="B14" s="138" t="s">
        <v>160</v>
      </c>
      <c r="C14" s="104" t="s">
        <v>48</v>
      </c>
      <c r="D14" s="105" t="s">
        <v>102</v>
      </c>
      <c r="E14" s="104">
        <v>485</v>
      </c>
      <c r="F14" s="104">
        <v>10</v>
      </c>
      <c r="G14" s="93" t="s">
        <v>6</v>
      </c>
      <c r="H14" s="106">
        <f t="shared" ca="1" si="0"/>
        <v>107999.71425896572</v>
      </c>
      <c r="I14" s="106">
        <f t="shared" ca="1" si="0"/>
        <v>113405.48828239994</v>
      </c>
      <c r="J14" s="106">
        <f t="shared" ca="1" si="0"/>
        <v>119071.62298542913</v>
      </c>
      <c r="K14" s="106">
        <f t="shared" ca="1" si="0"/>
        <v>124999.74888700015</v>
      </c>
      <c r="L14" s="106">
        <f t="shared" ca="1" si="0"/>
        <v>131167.33983298353</v>
      </c>
      <c r="M14" s="106"/>
      <c r="N14" s="106"/>
      <c r="O14" s="157" t="s">
        <v>176</v>
      </c>
      <c r="P14" s="160" t="str">
        <f t="shared" si="1"/>
        <v>03980C</v>
      </c>
      <c r="Q14" s="152" t="str">
        <f t="shared" si="2"/>
        <v>Professional Engineer</v>
      </c>
      <c r="R14" s="158" t="str">
        <f t="shared" si="3"/>
        <v>01</v>
      </c>
      <c r="S14" s="159" cm="1">
        <f t="array" aca="1" ref="S14" ca="1">IF($O14="Y",VLOOKUP($P14,INDIRECT($P$3),S$7,0)*INDIRECT($P$2),VLOOKUP($P14,INDIRECT($P$3),S$7,0))</f>
        <v>107999.71425896572</v>
      </c>
      <c r="T14" s="159" cm="1">
        <f t="array" aca="1" ref="T14" ca="1">IF($O14="Y",VLOOKUP($P14,INDIRECT($P$3),T$7,0)*INDIRECT($P$2),VLOOKUP($P14,INDIRECT($P$3),T$7,0))</f>
        <v>113405.48828239994</v>
      </c>
      <c r="U14" s="159" cm="1">
        <f t="array" aca="1" ref="U14" ca="1">IF($O14="Y",VLOOKUP($P14,INDIRECT($P$3),U$7,0)*INDIRECT($P$2),VLOOKUP($P14,INDIRECT($P$3),U$7,0))</f>
        <v>119071.62298542913</v>
      </c>
      <c r="V14" s="159" cm="1">
        <f t="array" aca="1" ref="V14" ca="1">IF($O14="Y",VLOOKUP($P14,INDIRECT($P$3),V$7,0)*INDIRECT($P$2),VLOOKUP($P14,INDIRECT($P$3),V$7,0))</f>
        <v>124999.74888700015</v>
      </c>
      <c r="W14" s="159" cm="1">
        <f t="array" aca="1" ref="W14" ca="1">IF($O14="Y",VLOOKUP($P14,INDIRECT($P$3),W$7,0)*INDIRECT($P$2),VLOOKUP($P14,INDIRECT($P$3),W$7,0))</f>
        <v>131167.33983298353</v>
      </c>
      <c r="X14" s="159" cm="1">
        <f t="array" aca="1" ref="X14" ca="1">IF($O14="Y",VLOOKUP($P14,INDIRECT($P$3),X$7,0)*INDIRECT($P$2),VLOOKUP($P14,INDIRECT($P$3),X$7,0))</f>
        <v>0</v>
      </c>
      <c r="Y14" s="167" t="str">
        <f t="shared" si="4"/>
        <v>Y</v>
      </c>
      <c r="Z14" s="167" t="str">
        <f t="shared" si="4"/>
        <v>03980C</v>
      </c>
      <c r="AA14" s="168" t="str">
        <f t="shared" si="4"/>
        <v>Professional Engineer</v>
      </c>
      <c r="AB14" s="167" t="str">
        <f t="shared" si="4"/>
        <v>01</v>
      </c>
      <c r="AC14" s="169">
        <f t="shared" ca="1" si="5"/>
        <v>51.923000000000002</v>
      </c>
      <c r="AD14" s="169">
        <f t="shared" ca="1" si="5"/>
        <v>54.521999999999998</v>
      </c>
      <c r="AE14" s="169">
        <f t="shared" ca="1" si="5"/>
        <v>57.246000000000002</v>
      </c>
      <c r="AF14" s="169">
        <f t="shared" ca="1" si="5"/>
        <v>60.095999999999997</v>
      </c>
      <c r="AG14" s="169">
        <f t="shared" ca="1" si="5"/>
        <v>63.061</v>
      </c>
      <c r="AH14" s="169">
        <f t="shared" ca="1" si="5"/>
        <v>0</v>
      </c>
      <c r="AI14" s="182">
        <f ca="1">AH14/'1-1-2026'!AG14</f>
        <v>0</v>
      </c>
    </row>
    <row r="15" spans="1:35" ht="12.75" customHeight="1">
      <c r="A15" s="104" t="s">
        <v>11</v>
      </c>
      <c r="B15" s="138" t="s">
        <v>162</v>
      </c>
      <c r="C15" s="104" t="s">
        <v>48</v>
      </c>
      <c r="D15" s="105" t="s">
        <v>103</v>
      </c>
      <c r="E15" s="104">
        <v>523</v>
      </c>
      <c r="F15" s="104">
        <v>11</v>
      </c>
      <c r="G15" s="93" t="s">
        <v>6</v>
      </c>
      <c r="H15" s="106">
        <f t="shared" ca="1" si="0"/>
        <v>112271.70995193534</v>
      </c>
      <c r="I15" s="106">
        <f t="shared" ca="1" si="0"/>
        <v>117874.09696636153</v>
      </c>
      <c r="J15" s="106">
        <f t="shared" ca="1" si="0"/>
        <v>123770.08671808611</v>
      </c>
      <c r="K15" s="106">
        <f t="shared" ca="1" si="0"/>
        <v>129924.57453199722</v>
      </c>
      <c r="L15" s="106">
        <f t="shared" ca="1" si="0"/>
        <v>136422.13235744031</v>
      </c>
      <c r="M15" s="106">
        <f t="shared" ca="1" si="0"/>
        <v>143153.8630646927</v>
      </c>
      <c r="N15" s="106"/>
      <c r="O15" s="157" t="s">
        <v>176</v>
      </c>
      <c r="P15" s="160" t="str">
        <f t="shared" si="1"/>
        <v>03990C</v>
      </c>
      <c r="Q15" s="152" t="str">
        <f t="shared" si="2"/>
        <v>Senior Professional Engineer</v>
      </c>
      <c r="R15" s="158" t="str">
        <f t="shared" si="3"/>
        <v>02</v>
      </c>
      <c r="S15" s="159" cm="1">
        <f t="array" aca="1" ref="S15" ca="1">IF($O15="Y",VLOOKUP($P15,INDIRECT($P$3),S$7,0)*INDIRECT($P$2),VLOOKUP($P15,INDIRECT($P$3),S$7,0))</f>
        <v>112271.70995193534</v>
      </c>
      <c r="T15" s="159" cm="1">
        <f t="array" aca="1" ref="T15" ca="1">IF($O15="Y",VLOOKUP($P15,INDIRECT($P$3),T$7,0)*INDIRECT($P$2),VLOOKUP($P15,INDIRECT($P$3),T$7,0))</f>
        <v>117874.09696636153</v>
      </c>
      <c r="U15" s="159" cm="1">
        <f t="array" aca="1" ref="U15" ca="1">IF($O15="Y",VLOOKUP($P15,INDIRECT($P$3),U$7,0)*INDIRECT($P$2),VLOOKUP($P15,INDIRECT($P$3),U$7,0))</f>
        <v>123770.08671808611</v>
      </c>
      <c r="V15" s="159" cm="1">
        <f t="array" aca="1" ref="V15" ca="1">IF($O15="Y",VLOOKUP($P15,INDIRECT($P$3),V$7,0)*INDIRECT($P$2),VLOOKUP($P15,INDIRECT($P$3),V$7,0))</f>
        <v>129924.57453199722</v>
      </c>
      <c r="W15" s="159" cm="1">
        <f t="array" aca="1" ref="W15" ca="1">IF($O15="Y",VLOOKUP($P15,INDIRECT($P$3),W$7,0)*INDIRECT($P$2),VLOOKUP($P15,INDIRECT($P$3),W$7,0))</f>
        <v>136422.13235744031</v>
      </c>
      <c r="X15" s="159" cm="1">
        <f t="array" aca="1" ref="X15" ca="1">IF($O15="Y",VLOOKUP($P15,INDIRECT($P$3),X$7,0)*INDIRECT($P$2),VLOOKUP($P15,INDIRECT($P$3),X$7,0))</f>
        <v>143153.8630646927</v>
      </c>
      <c r="Y15" s="167" t="str">
        <f t="shared" si="4"/>
        <v>Y</v>
      </c>
      <c r="Z15" s="167" t="str">
        <f t="shared" si="4"/>
        <v>03990C</v>
      </c>
      <c r="AA15" s="168" t="str">
        <f t="shared" si="4"/>
        <v>Senior Professional Engineer</v>
      </c>
      <c r="AB15" s="167" t="str">
        <f t="shared" si="4"/>
        <v>02</v>
      </c>
      <c r="AC15" s="169">
        <f t="shared" ca="1" si="5"/>
        <v>53.976999999999997</v>
      </c>
      <c r="AD15" s="169">
        <f t="shared" ca="1" si="5"/>
        <v>56.67</v>
      </c>
      <c r="AE15" s="169">
        <f t="shared" ca="1" si="5"/>
        <v>59.505000000000003</v>
      </c>
      <c r="AF15" s="169">
        <f t="shared" ca="1" si="5"/>
        <v>62.463999999999999</v>
      </c>
      <c r="AG15" s="169">
        <f t="shared" ca="1" si="5"/>
        <v>65.587999999999994</v>
      </c>
      <c r="AH15" s="169">
        <f t="shared" ca="1" si="5"/>
        <v>68.823999999999998</v>
      </c>
      <c r="AI15" s="182">
        <f ca="1">AH15/'1-1-2026'!AH15</f>
        <v>1.03000643529535</v>
      </c>
    </row>
    <row r="16" spans="1:35" ht="12.75" customHeight="1">
      <c r="A16" s="104" t="s">
        <v>203</v>
      </c>
      <c r="B16" s="138" t="s">
        <v>162</v>
      </c>
      <c r="C16" s="104" t="s">
        <v>48</v>
      </c>
      <c r="D16" s="105" t="s">
        <v>204</v>
      </c>
      <c r="E16" s="104">
        <v>508</v>
      </c>
      <c r="F16" s="104">
        <v>11</v>
      </c>
      <c r="G16" s="93" t="s">
        <v>6</v>
      </c>
      <c r="H16" s="106">
        <f t="shared" ca="1" si="0"/>
        <v>112271.70995193534</v>
      </c>
      <c r="I16" s="106">
        <f t="shared" ca="1" si="0"/>
        <v>117874.09696636153</v>
      </c>
      <c r="J16" s="106">
        <f t="shared" ca="1" si="0"/>
        <v>123770.08671808611</v>
      </c>
      <c r="K16" s="106">
        <f t="shared" ca="1" si="0"/>
        <v>129924.57453199722</v>
      </c>
      <c r="L16" s="106">
        <f t="shared" ca="1" si="0"/>
        <v>136422.13235744031</v>
      </c>
      <c r="M16" s="106">
        <f t="shared" ca="1" si="0"/>
        <v>143153.8630646927</v>
      </c>
      <c r="N16" s="106"/>
      <c r="O16" s="157" t="s">
        <v>176</v>
      </c>
      <c r="P16" s="160" t="str">
        <f t="shared" si="1"/>
        <v>59513C</v>
      </c>
      <c r="Q16" s="152" t="str">
        <f t="shared" si="2"/>
        <v>Senior Professional Electrical Engineer</v>
      </c>
      <c r="R16" s="158" t="str">
        <f t="shared" si="3"/>
        <v>02</v>
      </c>
      <c r="S16" s="159" cm="1">
        <f t="array" aca="1" ref="S16" ca="1">IF($O16="Y",VLOOKUP($P16,INDIRECT($P$3),S$7,0)*INDIRECT($P$2),VLOOKUP($P16,INDIRECT($P$3),S$7,0))</f>
        <v>112271.70995193534</v>
      </c>
      <c r="T16" s="159" cm="1">
        <f t="array" aca="1" ref="T16" ca="1">IF($O16="Y",VLOOKUP($P16,INDIRECT($P$3),T$7,0)*INDIRECT($P$2),VLOOKUP($P16,INDIRECT($P$3),T$7,0))</f>
        <v>117874.09696636153</v>
      </c>
      <c r="U16" s="159" cm="1">
        <f t="array" aca="1" ref="U16" ca="1">IF($O16="Y",VLOOKUP($P16,INDIRECT($P$3),U$7,0)*INDIRECT($P$2),VLOOKUP($P16,INDIRECT($P$3),U$7,0))</f>
        <v>123770.08671808611</v>
      </c>
      <c r="V16" s="159" cm="1">
        <f t="array" aca="1" ref="V16" ca="1">IF($O16="Y",VLOOKUP($P16,INDIRECT($P$3),V$7,0)*INDIRECT($P$2),VLOOKUP($P16,INDIRECT($P$3),V$7,0))</f>
        <v>129924.57453199722</v>
      </c>
      <c r="W16" s="159" cm="1">
        <f t="array" aca="1" ref="W16" ca="1">IF($O16="Y",VLOOKUP($P16,INDIRECT($P$3),W$7,0)*INDIRECT($P$2),VLOOKUP($P16,INDIRECT($P$3),W$7,0))</f>
        <v>136422.13235744031</v>
      </c>
      <c r="X16" s="159" cm="1">
        <f t="array" aca="1" ref="X16" ca="1">IF($O16="Y",VLOOKUP($P16,INDIRECT($P$3),X$7,0)*INDIRECT($P$2),VLOOKUP($P16,INDIRECT($P$3),X$7,0))</f>
        <v>143153.8630646927</v>
      </c>
      <c r="Y16" s="167" t="str">
        <f t="shared" si="4"/>
        <v>Y</v>
      </c>
      <c r="Z16" s="167" t="str">
        <f t="shared" si="4"/>
        <v>59513C</v>
      </c>
      <c r="AA16" s="168" t="str">
        <f t="shared" si="4"/>
        <v>Senior Professional Electrical Engineer</v>
      </c>
      <c r="AB16" s="167" t="str">
        <f t="shared" si="4"/>
        <v>02</v>
      </c>
      <c r="AC16" s="169">
        <f t="shared" ca="1" si="5"/>
        <v>53.976999999999997</v>
      </c>
      <c r="AD16" s="169">
        <f t="shared" ca="1" si="5"/>
        <v>56.67</v>
      </c>
      <c r="AE16" s="169">
        <f t="shared" ca="1" si="5"/>
        <v>59.505000000000003</v>
      </c>
      <c r="AF16" s="169">
        <f t="shared" ca="1" si="5"/>
        <v>62.463999999999999</v>
      </c>
      <c r="AG16" s="169">
        <f t="shared" ca="1" si="5"/>
        <v>65.587999999999994</v>
      </c>
      <c r="AH16" s="169">
        <f t="shared" ca="1" si="5"/>
        <v>68.823999999999998</v>
      </c>
      <c r="AI16" s="182">
        <f ca="1">AH16/'1-1-2026'!AH16</f>
        <v>1.03000643529535</v>
      </c>
    </row>
    <row r="17" spans="1:35" ht="12.75" customHeight="1">
      <c r="A17" s="104" t="s">
        <v>172</v>
      </c>
      <c r="B17" s="138" t="s">
        <v>163</v>
      </c>
      <c r="C17" s="104" t="s">
        <v>48</v>
      </c>
      <c r="D17" s="105" t="s">
        <v>173</v>
      </c>
      <c r="E17" s="104">
        <v>625</v>
      </c>
      <c r="F17" s="104">
        <v>13</v>
      </c>
      <c r="G17" s="93" t="s">
        <v>6</v>
      </c>
      <c r="H17" s="106">
        <f t="shared" ca="1" si="0"/>
        <v>130309.13188684305</v>
      </c>
      <c r="I17" s="106">
        <f t="shared" ca="1" si="0"/>
        <v>136805.09085390149</v>
      </c>
      <c r="J17" s="106">
        <f t="shared" ca="1" si="0"/>
        <v>143644.11983249185</v>
      </c>
      <c r="K17" s="106">
        <f t="shared" ca="1" si="0"/>
        <v>150824.62315556366</v>
      </c>
      <c r="L17" s="106">
        <f t="shared" ca="1" si="0"/>
        <v>158346.59763178267</v>
      </c>
      <c r="M17" s="106">
        <f t="shared" ca="1" si="0"/>
        <v>166161.15510963244</v>
      </c>
      <c r="N17" s="106"/>
      <c r="O17" s="157" t="s">
        <v>176</v>
      </c>
      <c r="P17" s="160" t="str">
        <f t="shared" si="1"/>
        <v>53044C</v>
      </c>
      <c r="Q17" s="152" t="str">
        <f t="shared" si="2"/>
        <v>Sewer Operations Engineer</v>
      </c>
      <c r="R17" s="158" t="str">
        <f t="shared" si="3"/>
        <v>05</v>
      </c>
      <c r="S17" s="159" cm="1">
        <f t="array" aca="1" ref="S17" ca="1">IF($O17="Y",VLOOKUP($P17,INDIRECT($P$3),S$7,0)*INDIRECT($P$2),VLOOKUP($P17,INDIRECT($P$3),S$7,0))</f>
        <v>130309.13188684305</v>
      </c>
      <c r="T17" s="159" cm="1">
        <f t="array" aca="1" ref="T17" ca="1">IF($O17="Y",VLOOKUP($P17,INDIRECT($P$3),T$7,0)*INDIRECT($P$2),VLOOKUP($P17,INDIRECT($P$3),T$7,0))</f>
        <v>136805.09085390149</v>
      </c>
      <c r="U17" s="159" cm="1">
        <f t="array" aca="1" ref="U17" ca="1">IF($O17="Y",VLOOKUP($P17,INDIRECT($P$3),U$7,0)*INDIRECT($P$2),VLOOKUP($P17,INDIRECT($P$3),U$7,0))</f>
        <v>143644.11983249185</v>
      </c>
      <c r="V17" s="159" cm="1">
        <f t="array" aca="1" ref="V17" ca="1">IF($O17="Y",VLOOKUP($P17,INDIRECT($P$3),V$7,0)*INDIRECT($P$2),VLOOKUP($P17,INDIRECT($P$3),V$7,0))</f>
        <v>150824.62315556366</v>
      </c>
      <c r="W17" s="159" cm="1">
        <f t="array" aca="1" ref="W17" ca="1">IF($O17="Y",VLOOKUP($P17,INDIRECT($P$3),W$7,0)*INDIRECT($P$2),VLOOKUP($P17,INDIRECT($P$3),W$7,0))</f>
        <v>158346.59763178267</v>
      </c>
      <c r="X17" s="159" cm="1">
        <f t="array" aca="1" ref="X17" ca="1">IF($O17="Y",VLOOKUP($P17,INDIRECT($P$3),X$7,0)*INDIRECT($P$2),VLOOKUP($P17,INDIRECT($P$3),X$7,0))</f>
        <v>166161.15510963244</v>
      </c>
      <c r="Y17" s="167" t="str">
        <f t="shared" si="4"/>
        <v>Y</v>
      </c>
      <c r="Z17" s="167" t="str">
        <f t="shared" si="4"/>
        <v>53044C</v>
      </c>
      <c r="AA17" s="168" t="str">
        <f t="shared" si="4"/>
        <v>Sewer Operations Engineer</v>
      </c>
      <c r="AB17" s="167" t="str">
        <f t="shared" si="4"/>
        <v>05</v>
      </c>
      <c r="AC17" s="169">
        <f t="shared" ca="1" si="5"/>
        <v>62.649000000000001</v>
      </c>
      <c r="AD17" s="169">
        <f t="shared" ca="1" si="5"/>
        <v>65.772000000000006</v>
      </c>
      <c r="AE17" s="169">
        <f t="shared" ca="1" si="5"/>
        <v>69.06</v>
      </c>
      <c r="AF17" s="169">
        <f t="shared" ca="1" si="5"/>
        <v>72.512</v>
      </c>
      <c r="AG17" s="169">
        <f t="shared" ca="1" si="5"/>
        <v>76.128</v>
      </c>
      <c r="AH17" s="169">
        <f t="shared" ca="1" si="5"/>
        <v>79.885000000000005</v>
      </c>
      <c r="AI17" s="182">
        <f ca="1">AH17/'1-1-2026'!AH17</f>
        <v>1.0300033523298693</v>
      </c>
    </row>
    <row r="18" spans="1:35" ht="12.75" customHeight="1">
      <c r="A18" s="104" t="s">
        <v>16</v>
      </c>
      <c r="B18" s="138" t="s">
        <v>163</v>
      </c>
      <c r="C18" s="104" t="s">
        <v>48</v>
      </c>
      <c r="D18" s="105" t="s">
        <v>104</v>
      </c>
      <c r="E18" s="104">
        <v>625</v>
      </c>
      <c r="F18" s="104">
        <v>13</v>
      </c>
      <c r="G18" s="93" t="s">
        <v>6</v>
      </c>
      <c r="H18" s="106">
        <f t="shared" ca="1" si="0"/>
        <v>130309.13188684305</v>
      </c>
      <c r="I18" s="106">
        <f t="shared" ca="1" si="0"/>
        <v>136805.09085390149</v>
      </c>
      <c r="J18" s="106">
        <f t="shared" ca="1" si="0"/>
        <v>143644.11983249185</v>
      </c>
      <c r="K18" s="106">
        <f t="shared" ca="1" si="0"/>
        <v>150824.62315556366</v>
      </c>
      <c r="L18" s="106">
        <f t="shared" ca="1" si="0"/>
        <v>158346.59763178267</v>
      </c>
      <c r="M18" s="106">
        <f t="shared" ca="1" si="0"/>
        <v>166161.15510963244</v>
      </c>
      <c r="N18" s="106"/>
      <c r="O18" s="157" t="s">
        <v>176</v>
      </c>
      <c r="P18" s="160" t="str">
        <f t="shared" si="1"/>
        <v>09440C</v>
      </c>
      <c r="Q18" s="152" t="str">
        <f t="shared" si="2"/>
        <v>Street Maintenance Engineer</v>
      </c>
      <c r="R18" s="158" t="str">
        <f t="shared" si="3"/>
        <v>05</v>
      </c>
      <c r="S18" s="159" cm="1">
        <f t="array" aca="1" ref="S18" ca="1">IF($O18="Y",VLOOKUP($P18,INDIRECT($P$3),S$7,0)*INDIRECT($P$2),VLOOKUP($P18,INDIRECT($P$3),S$7,0))</f>
        <v>130309.13188684305</v>
      </c>
      <c r="T18" s="159" cm="1">
        <f t="array" aca="1" ref="T18" ca="1">IF($O18="Y",VLOOKUP($P18,INDIRECT($P$3),T$7,0)*INDIRECT($P$2),VLOOKUP($P18,INDIRECT($P$3),T$7,0))</f>
        <v>136805.09085390149</v>
      </c>
      <c r="U18" s="159" cm="1">
        <f t="array" aca="1" ref="U18" ca="1">IF($O18="Y",VLOOKUP($P18,INDIRECT($P$3),U$7,0)*INDIRECT($P$2),VLOOKUP($P18,INDIRECT($P$3),U$7,0))</f>
        <v>143644.11983249185</v>
      </c>
      <c r="V18" s="159" cm="1">
        <f t="array" aca="1" ref="V18" ca="1">IF($O18="Y",VLOOKUP($P18,INDIRECT($P$3),V$7,0)*INDIRECT($P$2),VLOOKUP($P18,INDIRECT($P$3),V$7,0))</f>
        <v>150824.62315556366</v>
      </c>
      <c r="W18" s="159" cm="1">
        <f t="array" aca="1" ref="W18" ca="1">IF($O18="Y",VLOOKUP($P18,INDIRECT($P$3),W$7,0)*INDIRECT($P$2),VLOOKUP($P18,INDIRECT($P$3),W$7,0))</f>
        <v>158346.59763178267</v>
      </c>
      <c r="X18" s="159" cm="1">
        <f t="array" aca="1" ref="X18" ca="1">IF($O18="Y",VLOOKUP($P18,INDIRECT($P$3),X$7,0)*INDIRECT($P$2),VLOOKUP($P18,INDIRECT($P$3),X$7,0))</f>
        <v>166161.15510963244</v>
      </c>
      <c r="Y18" s="167" t="str">
        <f t="shared" si="4"/>
        <v>Y</v>
      </c>
      <c r="Z18" s="167" t="str">
        <f t="shared" si="4"/>
        <v>09440C</v>
      </c>
      <c r="AA18" s="168" t="str">
        <f t="shared" si="4"/>
        <v>Street Maintenance Engineer</v>
      </c>
      <c r="AB18" s="167" t="str">
        <f t="shared" si="4"/>
        <v>05</v>
      </c>
      <c r="AC18" s="169">
        <f t="shared" ca="1" si="5"/>
        <v>62.649000000000001</v>
      </c>
      <c r="AD18" s="169">
        <f t="shared" ca="1" si="5"/>
        <v>65.772000000000006</v>
      </c>
      <c r="AE18" s="169">
        <f t="shared" ca="1" si="5"/>
        <v>69.06</v>
      </c>
      <c r="AF18" s="169">
        <f t="shared" ca="1" si="5"/>
        <v>72.512</v>
      </c>
      <c r="AG18" s="169">
        <f t="shared" ca="1" si="5"/>
        <v>76.128</v>
      </c>
      <c r="AH18" s="169">
        <f t="shared" ca="1" si="5"/>
        <v>79.885000000000005</v>
      </c>
      <c r="AI18" s="182">
        <f ca="1">AH18/'1-1-2026'!AH18</f>
        <v>1.0300033523298693</v>
      </c>
    </row>
    <row r="19" spans="1:35" ht="12.75" customHeight="1">
      <c r="A19" s="104" t="s">
        <v>18</v>
      </c>
      <c r="B19" s="138" t="s">
        <v>163</v>
      </c>
      <c r="C19" s="104" t="s">
        <v>48</v>
      </c>
      <c r="D19" s="105" t="s">
        <v>105</v>
      </c>
      <c r="E19" s="104">
        <v>588</v>
      </c>
      <c r="F19" s="104">
        <v>13</v>
      </c>
      <c r="G19" s="93" t="s">
        <v>6</v>
      </c>
      <c r="H19" s="106">
        <f t="shared" ca="1" si="0"/>
        <v>130309.13188684305</v>
      </c>
      <c r="I19" s="106">
        <f t="shared" ca="1" si="0"/>
        <v>136805.09085390149</v>
      </c>
      <c r="J19" s="106">
        <f t="shared" ca="1" si="0"/>
        <v>143644.11983249185</v>
      </c>
      <c r="K19" s="106">
        <f t="shared" ca="1" si="0"/>
        <v>150824.62315556366</v>
      </c>
      <c r="L19" s="106">
        <f t="shared" ca="1" si="0"/>
        <v>158346.59763178267</v>
      </c>
      <c r="M19" s="106">
        <f t="shared" ca="1" si="0"/>
        <v>166161.15510963244</v>
      </c>
      <c r="N19" s="106"/>
      <c r="O19" s="157" t="s">
        <v>176</v>
      </c>
      <c r="P19" s="160" t="str">
        <f t="shared" si="1"/>
        <v>09750C</v>
      </c>
      <c r="Q19" s="152" t="str">
        <f t="shared" si="2"/>
        <v>Supt, Environmental Engnrg</v>
      </c>
      <c r="R19" s="158" t="str">
        <f t="shared" si="3"/>
        <v>05</v>
      </c>
      <c r="S19" s="159" cm="1">
        <f t="array" aca="1" ref="S19" ca="1">IF($O19="Y",VLOOKUP($P19,INDIRECT($P$3),S$7,0)*INDIRECT($P$2),VLOOKUP($P19,INDIRECT($P$3),S$7,0))</f>
        <v>130309.13188684305</v>
      </c>
      <c r="T19" s="159" cm="1">
        <f t="array" aca="1" ref="T19" ca="1">IF($O19="Y",VLOOKUP($P19,INDIRECT($P$3),T$7,0)*INDIRECT($P$2),VLOOKUP($P19,INDIRECT($P$3),T$7,0))</f>
        <v>136805.09085390149</v>
      </c>
      <c r="U19" s="159" cm="1">
        <f t="array" aca="1" ref="U19" ca="1">IF($O19="Y",VLOOKUP($P19,INDIRECT($P$3),U$7,0)*INDIRECT($P$2),VLOOKUP($P19,INDIRECT($P$3),U$7,0))</f>
        <v>143644.11983249185</v>
      </c>
      <c r="V19" s="159" cm="1">
        <f t="array" aca="1" ref="V19" ca="1">IF($O19="Y",VLOOKUP($P19,INDIRECT($P$3),V$7,0)*INDIRECT($P$2),VLOOKUP($P19,INDIRECT($P$3),V$7,0))</f>
        <v>150824.62315556366</v>
      </c>
      <c r="W19" s="159" cm="1">
        <f t="array" aca="1" ref="W19" ca="1">IF($O19="Y",VLOOKUP($P19,INDIRECT($P$3),W$7,0)*INDIRECT($P$2),VLOOKUP($P19,INDIRECT($P$3),W$7,0))</f>
        <v>158346.59763178267</v>
      </c>
      <c r="X19" s="159" cm="1">
        <f t="array" aca="1" ref="X19" ca="1">IF($O19="Y",VLOOKUP($P19,INDIRECT($P$3),X$7,0)*INDIRECT($P$2),VLOOKUP($P19,INDIRECT($P$3),X$7,0))</f>
        <v>166161.15510963244</v>
      </c>
      <c r="Y19" s="167" t="str">
        <f t="shared" si="4"/>
        <v>Y</v>
      </c>
      <c r="Z19" s="167" t="str">
        <f t="shared" si="4"/>
        <v>09750C</v>
      </c>
      <c r="AA19" s="168" t="str">
        <f t="shared" si="4"/>
        <v>Supt, Environmental Engnrg</v>
      </c>
      <c r="AB19" s="167" t="str">
        <f t="shared" si="4"/>
        <v>05</v>
      </c>
      <c r="AC19" s="169">
        <f t="shared" ca="1" si="5"/>
        <v>62.649000000000001</v>
      </c>
      <c r="AD19" s="169">
        <f t="shared" ca="1" si="5"/>
        <v>65.772000000000006</v>
      </c>
      <c r="AE19" s="169">
        <f t="shared" ca="1" si="5"/>
        <v>69.06</v>
      </c>
      <c r="AF19" s="169">
        <f t="shared" ca="1" si="5"/>
        <v>72.512</v>
      </c>
      <c r="AG19" s="169">
        <f t="shared" ca="1" si="5"/>
        <v>76.128</v>
      </c>
      <c r="AH19" s="169">
        <f t="shared" ca="1" si="5"/>
        <v>79.885000000000005</v>
      </c>
      <c r="AI19" s="182">
        <f ca="1">AH19/'1-1-2026'!AH19</f>
        <v>1.0300033523298693</v>
      </c>
    </row>
    <row r="20" spans="1:35" ht="12.75" customHeight="1">
      <c r="A20" s="104" t="s">
        <v>20</v>
      </c>
      <c r="B20" s="138" t="s">
        <v>163</v>
      </c>
      <c r="C20" s="104" t="s">
        <v>48</v>
      </c>
      <c r="D20" s="105" t="s">
        <v>107</v>
      </c>
      <c r="E20" s="104">
        <v>605</v>
      </c>
      <c r="F20" s="104">
        <v>13</v>
      </c>
      <c r="G20" s="93" t="s">
        <v>6</v>
      </c>
      <c r="H20" s="106">
        <f t="shared" ca="1" si="0"/>
        <v>130309.13188684305</v>
      </c>
      <c r="I20" s="106">
        <f t="shared" ca="1" si="0"/>
        <v>136805.09085390149</v>
      </c>
      <c r="J20" s="106">
        <f t="shared" ca="1" si="0"/>
        <v>143644.11983249185</v>
      </c>
      <c r="K20" s="106">
        <f t="shared" ca="1" si="0"/>
        <v>150824.62315556366</v>
      </c>
      <c r="L20" s="106">
        <f t="shared" ca="1" si="0"/>
        <v>158346.59763178267</v>
      </c>
      <c r="M20" s="106">
        <f t="shared" ca="1" si="0"/>
        <v>166161.15510963244</v>
      </c>
      <c r="N20" s="106"/>
      <c r="O20" s="157" t="s">
        <v>176</v>
      </c>
      <c r="P20" s="160" t="str">
        <f t="shared" si="1"/>
        <v>09790C</v>
      </c>
      <c r="Q20" s="152" t="str">
        <f t="shared" si="2"/>
        <v xml:space="preserve">Supt, Water Plant Operations </v>
      </c>
      <c r="R20" s="158" t="str">
        <f t="shared" si="3"/>
        <v>05</v>
      </c>
      <c r="S20" s="159" cm="1">
        <f t="array" aca="1" ref="S20" ca="1">IF($O20="Y",VLOOKUP($P20,INDIRECT($P$3),S$7,0)*INDIRECT($P$2),VLOOKUP($P20,INDIRECT($P$3),S$7,0))</f>
        <v>130309.13188684305</v>
      </c>
      <c r="T20" s="159" cm="1">
        <f t="array" aca="1" ref="T20" ca="1">IF($O20="Y",VLOOKUP($P20,INDIRECT($P$3),T$7,0)*INDIRECT($P$2),VLOOKUP($P20,INDIRECT($P$3),T$7,0))</f>
        <v>136805.09085390149</v>
      </c>
      <c r="U20" s="159" cm="1">
        <f t="array" aca="1" ref="U20" ca="1">IF($O20="Y",VLOOKUP($P20,INDIRECT($P$3),U$7,0)*INDIRECT($P$2),VLOOKUP($P20,INDIRECT($P$3),U$7,0))</f>
        <v>143644.11983249185</v>
      </c>
      <c r="V20" s="159" cm="1">
        <f t="array" aca="1" ref="V20" ca="1">IF($O20="Y",VLOOKUP($P20,INDIRECT($P$3),V$7,0)*INDIRECT($P$2),VLOOKUP($P20,INDIRECT($P$3),V$7,0))</f>
        <v>150824.62315556366</v>
      </c>
      <c r="W20" s="159" cm="1">
        <f t="array" aca="1" ref="W20" ca="1">IF($O20="Y",VLOOKUP($P20,INDIRECT($P$3),W$7,0)*INDIRECT($P$2),VLOOKUP($P20,INDIRECT($P$3),W$7,0))</f>
        <v>158346.59763178267</v>
      </c>
      <c r="X20" s="159" cm="1">
        <f t="array" aca="1" ref="X20" ca="1">IF($O20="Y",VLOOKUP($P20,INDIRECT($P$3),X$7,0)*INDIRECT($P$2),VLOOKUP($P20,INDIRECT($P$3),X$7,0))</f>
        <v>166161.15510963244</v>
      </c>
      <c r="Y20" s="167" t="str">
        <f t="shared" si="4"/>
        <v>Y</v>
      </c>
      <c r="Z20" s="167" t="str">
        <f t="shared" si="4"/>
        <v>09790C</v>
      </c>
      <c r="AA20" s="168" t="str">
        <f t="shared" si="4"/>
        <v xml:space="preserve">Supt, Water Plant Operations </v>
      </c>
      <c r="AB20" s="167" t="str">
        <f t="shared" si="4"/>
        <v>05</v>
      </c>
      <c r="AC20" s="169">
        <f t="shared" ca="1" si="5"/>
        <v>62.649000000000001</v>
      </c>
      <c r="AD20" s="169">
        <f t="shared" ca="1" si="5"/>
        <v>65.772000000000006</v>
      </c>
      <c r="AE20" s="169">
        <f t="shared" ca="1" si="5"/>
        <v>69.06</v>
      </c>
      <c r="AF20" s="169">
        <f t="shared" ca="1" si="5"/>
        <v>72.512</v>
      </c>
      <c r="AG20" s="169">
        <f t="shared" ca="1" si="5"/>
        <v>76.128</v>
      </c>
      <c r="AH20" s="169">
        <f t="shared" ca="1" si="5"/>
        <v>79.885000000000005</v>
      </c>
      <c r="AI20" s="182">
        <f ca="1">AH20/'1-1-2026'!AH20</f>
        <v>1.0300033523298693</v>
      </c>
    </row>
    <row r="21" spans="1:35" ht="12.75" customHeight="1">
      <c r="A21" s="104" t="s">
        <v>127</v>
      </c>
      <c r="B21" s="139" t="s">
        <v>163</v>
      </c>
      <c r="C21" s="104" t="s">
        <v>48</v>
      </c>
      <c r="D21" s="105" t="s">
        <v>125</v>
      </c>
      <c r="E21" s="104">
        <v>600</v>
      </c>
      <c r="F21" s="104">
        <v>13</v>
      </c>
      <c r="G21" s="93" t="s">
        <v>6</v>
      </c>
      <c r="H21" s="106">
        <f t="shared" ca="1" si="0"/>
        <v>130309.13188684305</v>
      </c>
      <c r="I21" s="106">
        <f t="shared" ca="1" si="0"/>
        <v>136805.09085390149</v>
      </c>
      <c r="J21" s="106">
        <f t="shared" ca="1" si="0"/>
        <v>143644.11983249185</v>
      </c>
      <c r="K21" s="106">
        <f t="shared" ca="1" si="0"/>
        <v>150824.62315556366</v>
      </c>
      <c r="L21" s="106">
        <f t="shared" ca="1" si="0"/>
        <v>158346.59763178267</v>
      </c>
      <c r="M21" s="106">
        <f t="shared" ca="1" si="0"/>
        <v>166161.15510963244</v>
      </c>
      <c r="N21" s="106"/>
      <c r="O21" s="157" t="s">
        <v>176</v>
      </c>
      <c r="P21" s="160" t="str">
        <f t="shared" si="1"/>
        <v>10625C</v>
      </c>
      <c r="Q21" s="152" t="str">
        <f t="shared" si="2"/>
        <v>Traffic Operations Engineer</v>
      </c>
      <c r="R21" s="158" t="str">
        <f t="shared" si="3"/>
        <v>05</v>
      </c>
      <c r="S21" s="159" cm="1">
        <f t="array" aca="1" ref="S21" ca="1">IF($O21="Y",VLOOKUP($P21,INDIRECT($P$3),S$7,0)*INDIRECT($P$2),VLOOKUP($P21,INDIRECT($P$3),S$7,0))</f>
        <v>130309.13188684305</v>
      </c>
      <c r="T21" s="159" cm="1">
        <f t="array" aca="1" ref="T21" ca="1">IF($O21="Y",VLOOKUP($P21,INDIRECT($P$3),T$7,0)*INDIRECT($P$2),VLOOKUP($P21,INDIRECT($P$3),T$7,0))</f>
        <v>136805.09085390149</v>
      </c>
      <c r="U21" s="159" cm="1">
        <f t="array" aca="1" ref="U21" ca="1">IF($O21="Y",VLOOKUP($P21,INDIRECT($P$3),U$7,0)*INDIRECT($P$2),VLOOKUP($P21,INDIRECT($P$3),U$7,0))</f>
        <v>143644.11983249185</v>
      </c>
      <c r="V21" s="159" cm="1">
        <f t="array" aca="1" ref="V21" ca="1">IF($O21="Y",VLOOKUP($P21,INDIRECT($P$3),V$7,0)*INDIRECT($P$2),VLOOKUP($P21,INDIRECT($P$3),V$7,0))</f>
        <v>150824.62315556366</v>
      </c>
      <c r="W21" s="159" cm="1">
        <f t="array" aca="1" ref="W21" ca="1">IF($O21="Y",VLOOKUP($P21,INDIRECT($P$3),W$7,0)*INDIRECT($P$2),VLOOKUP($P21,INDIRECT($P$3),W$7,0))</f>
        <v>158346.59763178267</v>
      </c>
      <c r="X21" s="159" cm="1">
        <f t="array" aca="1" ref="X21" ca="1">IF($O21="Y",VLOOKUP($P21,INDIRECT($P$3),X$7,0)*INDIRECT($P$2),VLOOKUP($P21,INDIRECT($P$3),X$7,0))</f>
        <v>166161.15510963244</v>
      </c>
      <c r="Y21" s="167" t="str">
        <f t="shared" si="4"/>
        <v>Y</v>
      </c>
      <c r="Z21" s="167" t="str">
        <f t="shared" si="4"/>
        <v>10625C</v>
      </c>
      <c r="AA21" s="168" t="str">
        <f t="shared" si="4"/>
        <v>Traffic Operations Engineer</v>
      </c>
      <c r="AB21" s="167" t="str">
        <f t="shared" si="4"/>
        <v>05</v>
      </c>
      <c r="AC21" s="169">
        <f t="shared" ca="1" si="5"/>
        <v>62.649000000000001</v>
      </c>
      <c r="AD21" s="169">
        <f t="shared" ca="1" si="5"/>
        <v>65.772000000000006</v>
      </c>
      <c r="AE21" s="169">
        <f t="shared" ca="1" si="5"/>
        <v>69.06</v>
      </c>
      <c r="AF21" s="169">
        <f t="shared" ca="1" si="5"/>
        <v>72.512</v>
      </c>
      <c r="AG21" s="169">
        <f t="shared" ca="1" si="5"/>
        <v>76.128</v>
      </c>
      <c r="AH21" s="169">
        <f t="shared" ca="1" si="5"/>
        <v>79.885000000000005</v>
      </c>
      <c r="AI21" s="182">
        <f ca="1">AH21/'1-1-2026'!AH21</f>
        <v>1.0300033523298693</v>
      </c>
    </row>
    <row r="22" spans="1:35" s="125" customFormat="1">
      <c r="A22" s="93"/>
      <c r="B22" s="93"/>
      <c r="C22" s="93"/>
      <c r="D22" s="93"/>
      <c r="E22" s="93"/>
      <c r="F22" s="93"/>
      <c r="G22" s="93"/>
      <c r="H22" s="93"/>
      <c r="I22" s="93"/>
      <c r="J22" s="93"/>
      <c r="K22" s="93"/>
      <c r="L22" s="93"/>
      <c r="M22" s="93"/>
      <c r="N22" s="93"/>
      <c r="O22" s="152"/>
      <c r="P22" s="160"/>
      <c r="Q22" s="152"/>
      <c r="R22" s="152"/>
      <c r="S22" s="152"/>
      <c r="T22" s="152"/>
      <c r="U22" s="154"/>
      <c r="V22" s="154"/>
      <c r="W22" s="152"/>
      <c r="X22" s="152"/>
      <c r="Y22" s="170"/>
      <c r="Z22" s="170"/>
      <c r="AA22" s="171"/>
      <c r="AB22" s="170"/>
      <c r="AC22" s="170"/>
      <c r="AD22" s="170"/>
      <c r="AE22" s="170"/>
      <c r="AF22" s="170"/>
      <c r="AG22" s="170"/>
      <c r="AH22" s="170"/>
      <c r="AI22" s="182"/>
    </row>
    <row r="23" spans="1:35" s="125" customFormat="1">
      <c r="A23" s="115" t="s">
        <v>68</v>
      </c>
      <c r="B23" s="112"/>
      <c r="C23" s="93"/>
      <c r="D23" s="93"/>
      <c r="E23" s="93"/>
      <c r="F23" s="93"/>
      <c r="G23" s="93"/>
      <c r="H23" s="93"/>
      <c r="I23" s="93"/>
      <c r="J23" s="93"/>
      <c r="K23" s="93"/>
      <c r="L23" s="93"/>
      <c r="M23" s="93"/>
      <c r="N23" s="93"/>
      <c r="O23" s="152"/>
      <c r="P23" s="160"/>
      <c r="Q23" s="152"/>
      <c r="R23" s="152"/>
      <c r="S23" s="152"/>
      <c r="T23" s="152"/>
      <c r="U23" s="154"/>
      <c r="V23" s="154"/>
      <c r="W23" s="152"/>
      <c r="X23" s="152"/>
      <c r="Y23" s="170"/>
      <c r="Z23" s="170"/>
      <c r="AA23" s="171"/>
      <c r="AB23" s="170"/>
      <c r="AC23" s="170"/>
      <c r="AD23" s="170"/>
      <c r="AE23" s="170"/>
      <c r="AF23" s="170"/>
      <c r="AG23" s="170"/>
      <c r="AH23" s="170"/>
      <c r="AI23" s="182"/>
    </row>
    <row r="24" spans="1:35" s="125" customFormat="1">
      <c r="A24" s="116">
        <f ca="1">S24</f>
        <v>50</v>
      </c>
      <c r="B24" s="112"/>
      <c r="C24" s="93" t="s">
        <v>183</v>
      </c>
      <c r="D24" s="93"/>
      <c r="E24" s="93"/>
      <c r="F24" s="93"/>
      <c r="G24" s="93"/>
      <c r="H24" s="93"/>
      <c r="I24" s="93"/>
      <c r="J24" s="93"/>
      <c r="K24" s="93"/>
      <c r="L24" s="93"/>
      <c r="M24" s="93"/>
      <c r="N24" s="93"/>
      <c r="O24" s="160" t="s">
        <v>184</v>
      </c>
      <c r="P24" s="160" t="s">
        <v>167</v>
      </c>
      <c r="Q24" s="154"/>
      <c r="R24" s="154"/>
      <c r="S24" s="159" cm="1">
        <f t="array" aca="1" ref="S24" ca="1">ROUND(IF($O24="Y",VLOOKUP($P24,INDIRECT($P$3),S$7,0)*INDIRECT($P$2),VLOOKUP($P24,INDIRECT($P$3),S$7,0)),0)</f>
        <v>50</v>
      </c>
      <c r="T24" s="152"/>
      <c r="U24" s="154"/>
      <c r="V24" s="154"/>
      <c r="W24" s="152"/>
      <c r="X24" s="152"/>
      <c r="Y24" s="167" t="str">
        <f t="shared" ref="Y24:Z25" si="6">O24</f>
        <v>N</v>
      </c>
      <c r="Z24" s="167" t="str">
        <f t="shared" si="6"/>
        <v>CENCDY</v>
      </c>
      <c r="AA24" s="168"/>
      <c r="AB24" s="167"/>
      <c r="AC24" s="169">
        <f t="shared" ref="AC24:AC25" ca="1" si="7">ROUND(S24/2080,3)</f>
        <v>2.4E-2</v>
      </c>
      <c r="AD24" s="170"/>
      <c r="AE24" s="170"/>
      <c r="AF24" s="170"/>
      <c r="AG24" s="170"/>
      <c r="AH24" s="170"/>
      <c r="AI24" s="182">
        <f ca="1">AC24/'1-1-2026'!AC24</f>
        <v>1</v>
      </c>
    </row>
    <row r="25" spans="1:35" s="125" customFormat="1">
      <c r="A25" s="116">
        <f ca="1">S25</f>
        <v>60</v>
      </c>
      <c r="B25" s="112"/>
      <c r="C25" s="93" t="s">
        <v>182</v>
      </c>
      <c r="D25" s="93"/>
      <c r="E25" s="93"/>
      <c r="F25" s="93"/>
      <c r="G25" s="93"/>
      <c r="H25" s="93"/>
      <c r="I25" s="93"/>
      <c r="J25" s="93"/>
      <c r="K25" s="93"/>
      <c r="L25" s="93"/>
      <c r="M25" s="93"/>
      <c r="N25" s="93"/>
      <c r="O25" s="160" t="s">
        <v>184</v>
      </c>
      <c r="P25" s="160" t="s">
        <v>168</v>
      </c>
      <c r="Q25" s="154"/>
      <c r="R25" s="154"/>
      <c r="S25" s="159" cm="1">
        <f t="array" aca="1" ref="S25" ca="1">ROUND(IF($O25="Y",VLOOKUP($P25,INDIRECT($P$3),S$7,0)*INDIRECT($P$2),VLOOKUP($P25,INDIRECT($P$3),S$7,0)),0)</f>
        <v>60</v>
      </c>
      <c r="T25" s="152"/>
      <c r="U25" s="154"/>
      <c r="V25" s="154"/>
      <c r="W25" s="152"/>
      <c r="X25" s="152"/>
      <c r="Y25" s="167" t="str">
        <f t="shared" si="6"/>
        <v>N</v>
      </c>
      <c r="Z25" s="167" t="str">
        <f t="shared" si="6"/>
        <v>CENCWE</v>
      </c>
      <c r="AA25" s="168"/>
      <c r="AB25" s="167"/>
      <c r="AC25" s="169">
        <f t="shared" ca="1" si="7"/>
        <v>2.9000000000000001E-2</v>
      </c>
      <c r="AD25" s="170"/>
      <c r="AE25" s="170"/>
      <c r="AF25" s="170"/>
      <c r="AG25" s="170"/>
      <c r="AH25" s="170"/>
      <c r="AI25" s="182">
        <f ca="1">AC25/'1-1-2026'!AC25</f>
        <v>1</v>
      </c>
    </row>
    <row r="26" spans="1:35">
      <c r="O26" s="160"/>
      <c r="AI26" s="182"/>
    </row>
    <row r="27" spans="1:35" s="125" customFormat="1">
      <c r="A27" s="94" t="s">
        <v>70</v>
      </c>
      <c r="B27" s="178"/>
      <c r="C27" s="94"/>
      <c r="D27" s="178"/>
      <c r="E27" s="178"/>
      <c r="F27" s="178"/>
      <c r="G27" s="178"/>
      <c r="H27" s="93"/>
      <c r="I27" s="93"/>
      <c r="J27" s="93"/>
      <c r="K27" s="93"/>
      <c r="L27" s="93"/>
      <c r="M27" s="93"/>
      <c r="N27" s="93"/>
      <c r="O27" s="160"/>
      <c r="P27" s="160"/>
      <c r="Q27" s="152"/>
      <c r="R27" s="152"/>
      <c r="S27" s="152"/>
      <c r="T27" s="152"/>
      <c r="U27" s="154"/>
      <c r="V27" s="154"/>
      <c r="W27" s="152"/>
      <c r="X27" s="152"/>
      <c r="Y27" s="170"/>
      <c r="Z27" s="170"/>
      <c r="AA27" s="171"/>
      <c r="AB27" s="170"/>
      <c r="AC27" s="170"/>
      <c r="AD27" s="170"/>
      <c r="AE27" s="170"/>
      <c r="AF27" s="170"/>
      <c r="AG27" s="170"/>
      <c r="AH27" s="170"/>
      <c r="AI27" s="182"/>
    </row>
    <row r="28" spans="1:35" s="125" customFormat="1">
      <c r="A28" s="118" t="s">
        <v>133</v>
      </c>
      <c r="B28" s="178"/>
      <c r="C28" s="94"/>
      <c r="D28" s="178"/>
      <c r="E28" s="178"/>
      <c r="F28" s="178"/>
      <c r="G28" s="178"/>
      <c r="H28" s="93"/>
      <c r="I28" s="93"/>
      <c r="J28" s="93"/>
      <c r="K28" s="93"/>
      <c r="L28" s="93"/>
      <c r="M28" s="93"/>
      <c r="N28" s="93"/>
      <c r="O28" s="160"/>
      <c r="P28" s="160"/>
      <c r="Q28" s="152"/>
      <c r="R28" s="152"/>
      <c r="S28" s="152"/>
      <c r="T28" s="152"/>
      <c r="U28" s="154"/>
      <c r="V28" s="154"/>
      <c r="W28" s="152"/>
      <c r="X28" s="152"/>
      <c r="Y28" s="170"/>
      <c r="Z28" s="170"/>
      <c r="AA28" s="171"/>
      <c r="AB28" s="170"/>
      <c r="AC28" s="170"/>
      <c r="AD28" s="170"/>
      <c r="AE28" s="170"/>
      <c r="AF28" s="170"/>
      <c r="AG28" s="170"/>
      <c r="AH28" s="170"/>
      <c r="AI28" s="182"/>
    </row>
    <row r="29" spans="1:35" s="125" customFormat="1">
      <c r="A29" s="184">
        <f ca="1">S29</f>
        <v>1032.9441727801043</v>
      </c>
      <c r="B29" s="112"/>
      <c r="C29" s="119" t="s">
        <v>24</v>
      </c>
      <c r="D29" s="178"/>
      <c r="E29" s="178"/>
      <c r="F29" s="178"/>
      <c r="G29" s="178"/>
      <c r="H29" s="93"/>
      <c r="I29" s="93"/>
      <c r="J29" s="93"/>
      <c r="K29" s="93"/>
      <c r="L29" s="93"/>
      <c r="M29" s="93"/>
      <c r="N29" s="93"/>
      <c r="O29" s="160" t="s">
        <v>176</v>
      </c>
      <c r="P29" s="160" t="s">
        <v>178</v>
      </c>
      <c r="Q29" s="159"/>
      <c r="R29" s="159"/>
      <c r="S29" s="183">
        <f ca="1">50+('1-1-2026'!S29*'1-1-2027'!IncrPerc2025)</f>
        <v>1032.9441727801043</v>
      </c>
      <c r="T29" s="152"/>
      <c r="U29" s="154"/>
      <c r="V29" s="154"/>
      <c r="W29" s="152"/>
      <c r="X29" s="152"/>
      <c r="Y29" s="167" t="str">
        <f t="shared" ref="Y29:Z32" si="8">O29</f>
        <v>Y</v>
      </c>
      <c r="Z29" s="167" t="str">
        <f t="shared" si="8"/>
        <v>Long10</v>
      </c>
      <c r="AA29" s="168"/>
      <c r="AB29" s="167"/>
      <c r="AC29" s="169">
        <f t="shared" ref="AC29:AC32" ca="1" si="9">ROUND(S29/2080,3)</f>
        <v>0.497</v>
      </c>
      <c r="AD29" s="170"/>
      <c r="AE29" s="170"/>
      <c r="AF29" s="170"/>
      <c r="AG29" s="170"/>
      <c r="AH29" s="170"/>
      <c r="AI29" s="182">
        <f ca="1">AC29/'1-1-2026'!AC29</f>
        <v>1.0827886710239651</v>
      </c>
    </row>
    <row r="30" spans="1:35" s="125" customFormat="1">
      <c r="A30" s="184">
        <f ca="1">S30</f>
        <v>1395.4420074565398</v>
      </c>
      <c r="B30" s="112"/>
      <c r="C30" s="119" t="s">
        <v>25</v>
      </c>
      <c r="D30" s="178"/>
      <c r="E30" s="178"/>
      <c r="F30" s="178"/>
      <c r="G30" s="178"/>
      <c r="H30" s="93"/>
      <c r="I30" s="93"/>
      <c r="J30" s="93"/>
      <c r="K30" s="93"/>
      <c r="L30" s="93"/>
      <c r="M30" s="93"/>
      <c r="N30" s="93"/>
      <c r="O30" s="160" t="s">
        <v>176</v>
      </c>
      <c r="P30" s="160" t="s">
        <v>179</v>
      </c>
      <c r="Q30" s="159"/>
      <c r="R30" s="159"/>
      <c r="S30" s="183">
        <f ca="1">50+'1-1-2026'!S30*'1-1-2027'!IncrPerc2025</f>
        <v>1395.4420074565398</v>
      </c>
      <c r="T30" s="152"/>
      <c r="U30" s="154"/>
      <c r="V30" s="154"/>
      <c r="W30" s="152"/>
      <c r="X30" s="152"/>
      <c r="Y30" s="167" t="str">
        <f t="shared" si="8"/>
        <v>Y</v>
      </c>
      <c r="Z30" s="167" t="str">
        <f t="shared" si="8"/>
        <v>Long15</v>
      </c>
      <c r="AA30" s="168"/>
      <c r="AB30" s="167"/>
      <c r="AC30" s="169">
        <f t="shared" ca="1" si="9"/>
        <v>0.67100000000000004</v>
      </c>
      <c r="AD30" s="170"/>
      <c r="AE30" s="170"/>
      <c r="AF30" s="170"/>
      <c r="AG30" s="170"/>
      <c r="AH30" s="170"/>
      <c r="AI30" s="182">
        <f ca="1">AC30/'1-1-2026'!AC30</f>
        <v>1.068471337579618</v>
      </c>
    </row>
    <row r="31" spans="1:35" s="125" customFormat="1">
      <c r="A31" s="184">
        <f ca="1">S31</f>
        <v>1739.6225923111831</v>
      </c>
      <c r="B31" s="112"/>
      <c r="C31" s="119" t="s">
        <v>26</v>
      </c>
      <c r="D31" s="178"/>
      <c r="E31" s="178"/>
      <c r="F31" s="178"/>
      <c r="G31" s="178"/>
      <c r="H31" s="93"/>
      <c r="I31" s="93"/>
      <c r="J31" s="93"/>
      <c r="K31" s="93"/>
      <c r="L31" s="93"/>
      <c r="M31" s="93"/>
      <c r="N31" s="93"/>
      <c r="O31" s="160" t="s">
        <v>176</v>
      </c>
      <c r="P31" s="160" t="s">
        <v>180</v>
      </c>
      <c r="Q31" s="159"/>
      <c r="R31" s="159"/>
      <c r="S31" s="183">
        <f ca="1">150+'1-1-2026'!S31*'1-1-2027'!IncrPerc2025</f>
        <v>1739.6225923111831</v>
      </c>
      <c r="T31" s="152"/>
      <c r="U31" s="154"/>
      <c r="V31" s="154"/>
      <c r="W31" s="152"/>
      <c r="X31" s="152"/>
      <c r="Y31" s="167" t="str">
        <f t="shared" si="8"/>
        <v>Y</v>
      </c>
      <c r="Z31" s="167" t="str">
        <f t="shared" si="8"/>
        <v>Long20</v>
      </c>
      <c r="AA31" s="168"/>
      <c r="AB31" s="167"/>
      <c r="AC31" s="169">
        <f t="shared" ca="1" si="9"/>
        <v>0.83599999999999997</v>
      </c>
      <c r="AD31" s="170"/>
      <c r="AE31" s="170"/>
      <c r="AF31" s="170"/>
      <c r="AG31" s="170"/>
      <c r="AH31" s="170"/>
      <c r="AI31" s="182">
        <f ca="1">AC31/'1-1-2026'!AC31</f>
        <v>1.1266846361185983</v>
      </c>
    </row>
    <row r="32" spans="1:35" s="125" customFormat="1">
      <c r="A32" s="184">
        <f ca="1">S32</f>
        <v>2021.8418785422571</v>
      </c>
      <c r="B32" s="112"/>
      <c r="C32" s="119" t="s">
        <v>27</v>
      </c>
      <c r="D32" s="105"/>
      <c r="E32" s="104"/>
      <c r="F32" s="104"/>
      <c r="G32" s="93"/>
      <c r="H32" s="93"/>
      <c r="I32" s="93"/>
      <c r="J32" s="93"/>
      <c r="K32" s="93"/>
      <c r="L32" s="93"/>
      <c r="M32" s="93"/>
      <c r="N32" s="93"/>
      <c r="O32" s="160" t="s">
        <v>176</v>
      </c>
      <c r="P32" s="160" t="s">
        <v>181</v>
      </c>
      <c r="Q32" s="159"/>
      <c r="R32" s="159"/>
      <c r="S32" s="183">
        <f ca="1">150+'1-1-2026'!S32*'1-1-2027'!IncrPerc2025</f>
        <v>2021.8418785422571</v>
      </c>
      <c r="T32" s="152"/>
      <c r="U32" s="154"/>
      <c r="V32" s="154"/>
      <c r="W32" s="152"/>
      <c r="X32" s="152"/>
      <c r="Y32" s="167" t="str">
        <f t="shared" si="8"/>
        <v>Y</v>
      </c>
      <c r="Z32" s="167" t="str">
        <f t="shared" si="8"/>
        <v>Long25</v>
      </c>
      <c r="AA32" s="168"/>
      <c r="AB32" s="167"/>
      <c r="AC32" s="169">
        <f t="shared" ca="1" si="9"/>
        <v>0.97199999999999998</v>
      </c>
      <c r="AD32" s="170"/>
      <c r="AE32" s="170"/>
      <c r="AF32" s="170"/>
      <c r="AG32" s="170"/>
      <c r="AH32" s="170"/>
      <c r="AI32" s="182">
        <f ca="1">AC32/'1-1-2026'!AC32</f>
        <v>1.1121281464530892</v>
      </c>
    </row>
    <row r="33" spans="1:35" s="125" customFormat="1">
      <c r="A33" s="104"/>
      <c r="B33" s="104"/>
      <c r="C33" s="104"/>
      <c r="D33" s="105"/>
      <c r="E33" s="104"/>
      <c r="F33" s="104"/>
      <c r="G33" s="93"/>
      <c r="H33" s="93"/>
      <c r="I33" s="93"/>
      <c r="J33" s="93"/>
      <c r="K33" s="93"/>
      <c r="L33" s="93"/>
      <c r="M33" s="93"/>
      <c r="N33" s="93"/>
      <c r="O33" s="152"/>
      <c r="P33" s="160"/>
      <c r="Q33" s="152"/>
      <c r="R33" s="152"/>
      <c r="S33" s="152"/>
      <c r="T33" s="152"/>
      <c r="U33" s="154"/>
      <c r="V33" s="154"/>
      <c r="W33" s="152"/>
      <c r="X33" s="152"/>
      <c r="Y33" s="170"/>
      <c r="Z33" s="170"/>
      <c r="AA33" s="171"/>
      <c r="AB33" s="170"/>
      <c r="AC33" s="170"/>
      <c r="AD33" s="170"/>
      <c r="AE33" s="170"/>
      <c r="AF33" s="170"/>
      <c r="AG33" s="170"/>
      <c r="AH33" s="170"/>
      <c r="AI33" s="180"/>
    </row>
    <row r="34" spans="1:35" s="125" customFormat="1">
      <c r="A34" s="93" t="s">
        <v>185</v>
      </c>
      <c r="B34" s="112"/>
      <c r="C34" s="93"/>
      <c r="D34" s="93"/>
      <c r="E34" s="93"/>
      <c r="F34" s="93"/>
      <c r="G34" s="93"/>
      <c r="H34" s="93"/>
      <c r="I34" s="93"/>
      <c r="J34" s="93"/>
      <c r="K34" s="93"/>
      <c r="L34" s="93"/>
      <c r="M34" s="93"/>
      <c r="N34" s="93"/>
      <c r="O34" s="152"/>
      <c r="P34" s="160"/>
      <c r="Q34" s="152"/>
      <c r="R34" s="152"/>
      <c r="S34" s="152"/>
      <c r="T34" s="152"/>
      <c r="U34" s="154"/>
      <c r="V34" s="154"/>
      <c r="W34" s="152"/>
      <c r="X34" s="152"/>
      <c r="Y34" s="170"/>
      <c r="Z34" s="170"/>
      <c r="AA34" s="171"/>
      <c r="AB34" s="170"/>
      <c r="AC34" s="170"/>
      <c r="AD34" s="170"/>
      <c r="AE34" s="170"/>
      <c r="AF34" s="170"/>
      <c r="AG34" s="170"/>
      <c r="AH34" s="170"/>
    </row>
    <row r="41" spans="1:35">
      <c r="A41" s="177" t="str">
        <f>A7</f>
        <v>Last updated February 27, 2026</v>
      </c>
      <c r="M41" s="93" t="s">
        <v>201</v>
      </c>
    </row>
  </sheetData>
  <sheetProtection sheet="1" objects="1" scenarios="1"/>
  <mergeCells count="3">
    <mergeCell ref="A2:L2"/>
    <mergeCell ref="H3:I3"/>
    <mergeCell ref="A5:C5"/>
  </mergeCells>
  <pageMargins left="0.25" right="0.25" top="1" bottom="0.5" header="0.5" footer="0.5"/>
  <pageSetup scale="96" orientation="landscape"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388EB-83C3-43FF-8702-8EEB503DBA94}">
  <dimension ref="A1:AI41"/>
  <sheetViews>
    <sheetView showGridLines="0" zoomScaleNormal="100" workbookViewId="0">
      <selection activeCell="O1" sqref="O1:AI1048576"/>
    </sheetView>
  </sheetViews>
  <sheetFormatPr defaultColWidth="9.265625" defaultRowHeight="13.15"/>
  <cols>
    <col min="1" max="1" width="10" style="93" customWidth="1"/>
    <col min="2" max="2" width="8.265625" style="112" bestFit="1" customWidth="1"/>
    <col min="3" max="3" width="9" style="93" customWidth="1"/>
    <col min="4" max="4" width="30.265625" style="93" bestFit="1" customWidth="1"/>
    <col min="5" max="6" width="5.73046875" style="93" bestFit="1" customWidth="1"/>
    <col min="7" max="7" width="4.73046875" style="93" bestFit="1" customWidth="1"/>
    <col min="8" max="8" width="11.73046875" style="93" customWidth="1"/>
    <col min="9" max="9" width="10.265625" style="93" customWidth="1"/>
    <col min="10" max="10" width="9.73046875" style="93" customWidth="1"/>
    <col min="11" max="12" width="10.59765625" style="93" customWidth="1"/>
    <col min="13" max="13" width="10" style="93" bestFit="1" customWidth="1"/>
    <col min="14" max="14" width="9.265625" style="93" customWidth="1"/>
    <col min="15" max="15" width="10.265625" style="152" hidden="1" customWidth="1"/>
    <col min="16" max="16" width="13.59765625" style="160" hidden="1" customWidth="1"/>
    <col min="17" max="17" width="30.265625" style="152" hidden="1" customWidth="1"/>
    <col min="18" max="18" width="5.3984375" style="152" hidden="1" customWidth="1"/>
    <col min="19" max="20" width="8.3984375" style="152" hidden="1" customWidth="1"/>
    <col min="21" max="22" width="8.3984375" style="154" hidden="1" customWidth="1"/>
    <col min="23" max="24" width="8.3984375" style="152" hidden="1" customWidth="1"/>
    <col min="25" max="25" width="10.3984375" style="162" hidden="1" customWidth="1"/>
    <col min="26" max="26" width="7.73046875" style="162" hidden="1" customWidth="1"/>
    <col min="27" max="27" width="30.265625" style="163" hidden="1" customWidth="1"/>
    <col min="28" max="28" width="8.265625" style="162" hidden="1" customWidth="1"/>
    <col min="29" max="34" width="7.3984375" style="162" hidden="1" customWidth="1"/>
    <col min="35" max="35" width="0" style="93" hidden="1" customWidth="1"/>
    <col min="36" max="16384" width="9.265625" style="93"/>
  </cols>
  <sheetData>
    <row r="1" spans="1:35" ht="23.25">
      <c r="A1" s="179" t="s">
        <v>199</v>
      </c>
    </row>
    <row r="2" spans="1:35" ht="21">
      <c r="A2" s="187" t="s">
        <v>0</v>
      </c>
      <c r="B2" s="187"/>
      <c r="C2" s="187"/>
      <c r="D2" s="187"/>
      <c r="E2" s="187"/>
      <c r="F2" s="187"/>
      <c r="G2" s="187"/>
      <c r="H2" s="187"/>
      <c r="I2" s="187"/>
      <c r="J2" s="187"/>
      <c r="K2" s="187"/>
      <c r="L2" s="187"/>
      <c r="P2" s="160" t="s">
        <v>217</v>
      </c>
      <c r="Q2" s="181">
        <v>1.03</v>
      </c>
    </row>
    <row r="3" spans="1:35">
      <c r="A3" s="94"/>
      <c r="B3" s="95"/>
      <c r="C3" s="96"/>
      <c r="D3" s="95"/>
      <c r="E3" s="95"/>
      <c r="F3" s="178"/>
      <c r="G3" s="178"/>
      <c r="H3" s="188"/>
      <c r="I3" s="188"/>
      <c r="J3" s="178"/>
      <c r="K3" s="178"/>
      <c r="L3" s="178"/>
      <c r="P3" s="160" t="s">
        <v>215</v>
      </c>
      <c r="Q3" s="181"/>
    </row>
    <row r="4" spans="1:35">
      <c r="A4" s="94" t="s">
        <v>1</v>
      </c>
      <c r="B4" s="178"/>
      <c r="C4" s="94"/>
      <c r="D4" s="178"/>
      <c r="E4" s="178"/>
      <c r="F4" s="178"/>
      <c r="G4" s="178"/>
      <c r="H4" s="178"/>
      <c r="I4" s="178"/>
      <c r="J4" s="178"/>
      <c r="K4" s="178"/>
      <c r="L4" s="178"/>
      <c r="Q4" s="181"/>
    </row>
    <row r="5" spans="1:35">
      <c r="A5" s="189" t="s">
        <v>214</v>
      </c>
      <c r="B5" s="189"/>
      <c r="C5" s="189"/>
      <c r="D5" s="98"/>
      <c r="E5" s="98"/>
      <c r="F5" s="98"/>
      <c r="G5" s="98"/>
      <c r="H5" s="98"/>
      <c r="I5" s="178"/>
      <c r="J5" s="178"/>
      <c r="K5" s="178"/>
      <c r="L5" s="178"/>
    </row>
    <row r="6" spans="1:35">
      <c r="A6" s="151" t="str">
        <f>TEXT(Q2-1,"#.00%")&amp;" Increase"</f>
        <v>3.00% Increase</v>
      </c>
      <c r="C6" s="94"/>
      <c r="D6" s="178"/>
      <c r="E6" s="178"/>
      <c r="F6" s="178"/>
      <c r="G6" s="178"/>
      <c r="H6" s="178"/>
      <c r="I6" s="178"/>
      <c r="J6" s="178"/>
      <c r="K6" s="178"/>
      <c r="L6" s="178"/>
    </row>
    <row r="7" spans="1:35">
      <c r="A7" s="96" t="s">
        <v>211</v>
      </c>
      <c r="B7" s="94"/>
      <c r="C7" s="94"/>
      <c r="D7" s="178"/>
      <c r="E7" s="178"/>
      <c r="F7" s="178"/>
      <c r="G7" s="178"/>
      <c r="H7" s="178"/>
      <c r="I7" s="178"/>
      <c r="J7" s="178"/>
      <c r="K7" s="178"/>
      <c r="L7" s="178"/>
      <c r="S7" s="161">
        <v>4</v>
      </c>
      <c r="T7" s="161">
        <v>5</v>
      </c>
      <c r="U7" s="161">
        <v>6</v>
      </c>
      <c r="V7" s="161">
        <v>7</v>
      </c>
      <c r="W7" s="161">
        <v>8</v>
      </c>
      <c r="X7" s="161">
        <v>9</v>
      </c>
    </row>
    <row r="8" spans="1:35">
      <c r="A8" s="94"/>
      <c r="B8" s="94"/>
      <c r="C8" s="94"/>
      <c r="D8" s="178"/>
      <c r="E8" s="178"/>
      <c r="F8" s="178"/>
      <c r="G8" s="178"/>
      <c r="H8" s="178"/>
      <c r="I8" s="178"/>
      <c r="J8" s="178"/>
      <c r="K8" s="178"/>
      <c r="L8" s="178"/>
      <c r="M8" s="141">
        <v>34.525197001003797</v>
      </c>
      <c r="O8" s="174" t="s">
        <v>197</v>
      </c>
      <c r="Y8" s="175" t="s">
        <v>196</v>
      </c>
    </row>
    <row r="9" spans="1:35" ht="30.75" customHeight="1" thickBot="1">
      <c r="A9" s="126" t="s">
        <v>36</v>
      </c>
      <c r="B9" s="126" t="s">
        <v>37</v>
      </c>
      <c r="C9" s="126" t="s">
        <v>2</v>
      </c>
      <c r="D9" s="126" t="s">
        <v>38</v>
      </c>
      <c r="E9" s="126" t="s">
        <v>39</v>
      </c>
      <c r="F9" s="126" t="s">
        <v>40</v>
      </c>
      <c r="G9" s="127" t="s">
        <v>131</v>
      </c>
      <c r="H9" s="102" t="s">
        <v>41</v>
      </c>
      <c r="I9" s="102" t="s">
        <v>42</v>
      </c>
      <c r="J9" s="102" t="s">
        <v>43</v>
      </c>
      <c r="K9" s="102" t="s">
        <v>44</v>
      </c>
      <c r="L9" s="102" t="s">
        <v>45</v>
      </c>
      <c r="M9" s="102" t="s">
        <v>46</v>
      </c>
      <c r="N9" s="103"/>
      <c r="O9" s="156" t="s">
        <v>175</v>
      </c>
      <c r="P9" s="155" t="s">
        <v>36</v>
      </c>
      <c r="Q9" s="155" t="s">
        <v>38</v>
      </c>
      <c r="R9" s="155" t="s">
        <v>37</v>
      </c>
      <c r="S9" s="156" t="s">
        <v>41</v>
      </c>
      <c r="T9" s="156" t="s">
        <v>42</v>
      </c>
      <c r="U9" s="156" t="s">
        <v>43</v>
      </c>
      <c r="V9" s="156" t="s">
        <v>44</v>
      </c>
      <c r="W9" s="156" t="s">
        <v>45</v>
      </c>
      <c r="X9" s="156" t="s">
        <v>46</v>
      </c>
      <c r="Y9" s="164" t="s">
        <v>175</v>
      </c>
      <c r="Z9" s="165" t="s">
        <v>36</v>
      </c>
      <c r="AA9" s="166" t="s">
        <v>38</v>
      </c>
      <c r="AB9" s="165" t="s">
        <v>37</v>
      </c>
      <c r="AC9" s="164" t="s">
        <v>41</v>
      </c>
      <c r="AD9" s="164" t="s">
        <v>42</v>
      </c>
      <c r="AE9" s="164" t="s">
        <v>43</v>
      </c>
      <c r="AF9" s="164" t="s">
        <v>44</v>
      </c>
      <c r="AG9" s="164" t="s">
        <v>45</v>
      </c>
      <c r="AH9" s="164" t="s">
        <v>46</v>
      </c>
    </row>
    <row r="10" spans="1:35" ht="12.75" customHeight="1" thickTop="1">
      <c r="A10" s="104" t="s">
        <v>8</v>
      </c>
      <c r="B10" s="138" t="s">
        <v>159</v>
      </c>
      <c r="C10" s="104" t="s">
        <v>48</v>
      </c>
      <c r="D10" s="105" t="s">
        <v>99</v>
      </c>
      <c r="E10" s="104">
        <v>395</v>
      </c>
      <c r="F10" s="104">
        <v>8</v>
      </c>
      <c r="G10" s="93" t="s">
        <v>6</v>
      </c>
      <c r="H10" s="106">
        <f t="shared" ref="H10:M21" ca="1" si="0">S10</f>
        <v>87023.35538837788</v>
      </c>
      <c r="I10" s="106">
        <f t="shared" ca="1" si="0"/>
        <v>90499.269442917852</v>
      </c>
      <c r="J10" s="106">
        <f t="shared" ca="1" si="0"/>
        <v>94114.22005963941</v>
      </c>
      <c r="K10" s="106">
        <f t="shared" ca="1" si="0"/>
        <v>97873.76870102981</v>
      </c>
      <c r="L10" s="106">
        <f t="shared" ca="1" si="0"/>
        <v>101783.69928807585</v>
      </c>
      <c r="M10" s="106">
        <f t="shared" ca="1" si="0"/>
        <v>105850.02709860369</v>
      </c>
      <c r="N10" s="106"/>
      <c r="O10" s="157" t="s">
        <v>176</v>
      </c>
      <c r="P10" s="160" t="str">
        <f t="shared" ref="P10:P21" si="1">A10</f>
        <v>03960C</v>
      </c>
      <c r="Q10" s="152" t="str">
        <f t="shared" ref="Q10:Q21" si="2">D10</f>
        <v>Engineer</v>
      </c>
      <c r="R10" s="158" t="str">
        <f t="shared" ref="R10:R21" si="3">B10</f>
        <v>13</v>
      </c>
      <c r="S10" s="159" cm="1">
        <f t="array" aca="1" ref="S10" ca="1">IF($O10="Y",VLOOKUP($P10,INDIRECT($P$3),S$7,0)*INDIRECT($P$2),VLOOKUP($P10,INDIRECT($P$3),S$7,0))</f>
        <v>87023.35538837788</v>
      </c>
      <c r="T10" s="159" cm="1">
        <f t="array" aca="1" ref="T10" ca="1">IF($O10="Y",VLOOKUP($P10,INDIRECT($P$3),T$7,0)*INDIRECT($P$2),VLOOKUP($P10,INDIRECT($P$3),T$7,0))</f>
        <v>90499.269442917852</v>
      </c>
      <c r="U10" s="159" cm="1">
        <f t="array" aca="1" ref="U10" ca="1">IF($O10="Y",VLOOKUP($P10,INDIRECT($P$3),U$7,0)*INDIRECT($P$2),VLOOKUP($P10,INDIRECT($P$3),U$7,0))</f>
        <v>94114.22005963941</v>
      </c>
      <c r="V10" s="159" cm="1">
        <f t="array" aca="1" ref="V10" ca="1">IF($O10="Y",VLOOKUP($P10,INDIRECT($P$3),V$7,0)*INDIRECT($P$2),VLOOKUP($P10,INDIRECT($P$3),V$7,0))</f>
        <v>97873.76870102981</v>
      </c>
      <c r="W10" s="159" cm="1">
        <f t="array" aca="1" ref="W10" ca="1">IF($O10="Y",VLOOKUP($P10,INDIRECT($P$3),W$7,0)*INDIRECT($P$2),VLOOKUP($P10,INDIRECT($P$3),W$7,0))</f>
        <v>101783.69928807585</v>
      </c>
      <c r="X10" s="159" cm="1">
        <f t="array" aca="1" ref="X10" ca="1">IF($O10="Y",VLOOKUP($P10,INDIRECT($P$3),X$7,0)*INDIRECT($P$2),VLOOKUP($P10,INDIRECT($P$3),X$7,0))</f>
        <v>105850.02709860369</v>
      </c>
      <c r="Y10" s="167" t="str">
        <f t="shared" ref="Y10:AB21" si="4">O10</f>
        <v>Y</v>
      </c>
      <c r="Z10" s="167" t="str">
        <f t="shared" si="4"/>
        <v>03960C</v>
      </c>
      <c r="AA10" s="168" t="str">
        <f t="shared" si="4"/>
        <v>Engineer</v>
      </c>
      <c r="AB10" s="167" t="str">
        <f t="shared" si="4"/>
        <v>13</v>
      </c>
      <c r="AC10" s="169">
        <f t="shared" ref="AC10:AH21" ca="1" si="5">ROUND(S10/2080,3)</f>
        <v>41.838000000000001</v>
      </c>
      <c r="AD10" s="169">
        <f t="shared" ca="1" si="5"/>
        <v>43.509</v>
      </c>
      <c r="AE10" s="169">
        <f t="shared" ca="1" si="5"/>
        <v>45.247</v>
      </c>
      <c r="AF10" s="169">
        <f t="shared" ca="1" si="5"/>
        <v>47.055</v>
      </c>
      <c r="AG10" s="169">
        <f t="shared" ca="1" si="5"/>
        <v>48.933999999999997</v>
      </c>
      <c r="AH10" s="169">
        <f t="shared" ca="1" si="5"/>
        <v>50.889000000000003</v>
      </c>
      <c r="AI10" s="182">
        <f ca="1">AH10/'1-1-2027'!AH10</f>
        <v>1.0299957495901393</v>
      </c>
    </row>
    <row r="11" spans="1:35" ht="12.75" customHeight="1">
      <c r="A11" s="104" t="s">
        <v>78</v>
      </c>
      <c r="B11" s="138" t="s">
        <v>160</v>
      </c>
      <c r="C11" s="104" t="s">
        <v>48</v>
      </c>
      <c r="D11" s="105" t="s">
        <v>92</v>
      </c>
      <c r="E11" s="104">
        <v>470</v>
      </c>
      <c r="F11" s="104">
        <v>10</v>
      </c>
      <c r="G11" s="93" t="s">
        <v>6</v>
      </c>
      <c r="H11" s="106">
        <f t="shared" ca="1" si="0"/>
        <v>111239.70568673468</v>
      </c>
      <c r="I11" s="106">
        <f t="shared" ca="1" si="0"/>
        <v>116807.65293087193</v>
      </c>
      <c r="J11" s="106">
        <f t="shared" ca="1" si="0"/>
        <v>122643.77167499201</v>
      </c>
      <c r="K11" s="106">
        <f t="shared" ca="1" si="0"/>
        <v>128749.74135361017</v>
      </c>
      <c r="L11" s="106">
        <f t="shared" ca="1" si="0"/>
        <v>135102.36002797305</v>
      </c>
      <c r="M11" s="106"/>
      <c r="N11" s="106"/>
      <c r="O11" s="157" t="s">
        <v>176</v>
      </c>
      <c r="P11" s="160" t="str">
        <f t="shared" si="1"/>
        <v>04106C</v>
      </c>
      <c r="Q11" s="152" t="str">
        <f t="shared" si="2"/>
        <v xml:space="preserve">Environmental Engineer </v>
      </c>
      <c r="R11" s="158" t="str">
        <f t="shared" si="3"/>
        <v>01</v>
      </c>
      <c r="S11" s="159" cm="1">
        <f t="array" aca="1" ref="S11" ca="1">IF($O11="Y",VLOOKUP($P11,INDIRECT($P$3),S$7,0)*INDIRECT($P$2),VLOOKUP($P11,INDIRECT($P$3),S$7,0))</f>
        <v>111239.70568673468</v>
      </c>
      <c r="T11" s="159" cm="1">
        <f t="array" aca="1" ref="T11" ca="1">IF($O11="Y",VLOOKUP($P11,INDIRECT($P$3),T$7,0)*INDIRECT($P$2),VLOOKUP($P11,INDIRECT($P$3),T$7,0))</f>
        <v>116807.65293087193</v>
      </c>
      <c r="U11" s="159" cm="1">
        <f t="array" aca="1" ref="U11" ca="1">IF($O11="Y",VLOOKUP($P11,INDIRECT($P$3),U$7,0)*INDIRECT($P$2),VLOOKUP($P11,INDIRECT($P$3),U$7,0))</f>
        <v>122643.77167499201</v>
      </c>
      <c r="V11" s="159" cm="1">
        <f t="array" aca="1" ref="V11" ca="1">IF($O11="Y",VLOOKUP($P11,INDIRECT($P$3),V$7,0)*INDIRECT($P$2),VLOOKUP($P11,INDIRECT($P$3),V$7,0))</f>
        <v>128749.74135361017</v>
      </c>
      <c r="W11" s="159" cm="1">
        <f t="array" aca="1" ref="W11" ca="1">IF($O11="Y",VLOOKUP($P11,INDIRECT($P$3),W$7,0)*INDIRECT($P$2),VLOOKUP($P11,INDIRECT($P$3),W$7,0))</f>
        <v>135102.36002797305</v>
      </c>
      <c r="X11" s="159"/>
      <c r="Y11" s="167" t="str">
        <f t="shared" si="4"/>
        <v>Y</v>
      </c>
      <c r="Z11" s="167" t="str">
        <f t="shared" si="4"/>
        <v>04106C</v>
      </c>
      <c r="AA11" s="168" t="str">
        <f t="shared" si="4"/>
        <v xml:space="preserve">Environmental Engineer </v>
      </c>
      <c r="AB11" s="167" t="str">
        <f t="shared" si="4"/>
        <v>01</v>
      </c>
      <c r="AC11" s="169">
        <f t="shared" ca="1" si="5"/>
        <v>53.481000000000002</v>
      </c>
      <c r="AD11" s="169">
        <f t="shared" ca="1" si="5"/>
        <v>56.158000000000001</v>
      </c>
      <c r="AE11" s="169">
        <f t="shared" ca="1" si="5"/>
        <v>58.963000000000001</v>
      </c>
      <c r="AF11" s="169">
        <f t="shared" ca="1" si="5"/>
        <v>61.899000000000001</v>
      </c>
      <c r="AG11" s="169">
        <f t="shared" ca="1" si="5"/>
        <v>64.953000000000003</v>
      </c>
      <c r="AH11" s="169"/>
      <c r="AI11" s="182">
        <f ca="1">AG11/'1-1-2027'!AG11</f>
        <v>1.0300026958024771</v>
      </c>
    </row>
    <row r="12" spans="1:35" ht="12.75" customHeight="1">
      <c r="A12" s="104" t="s">
        <v>13</v>
      </c>
      <c r="B12" s="138" t="s">
        <v>160</v>
      </c>
      <c r="C12" s="104" t="s">
        <v>48</v>
      </c>
      <c r="D12" s="105" t="s">
        <v>100</v>
      </c>
      <c r="E12" s="104">
        <v>470</v>
      </c>
      <c r="F12" s="104">
        <v>10</v>
      </c>
      <c r="G12" s="93" t="s">
        <v>6</v>
      </c>
      <c r="H12" s="106">
        <f t="shared" ca="1" si="0"/>
        <v>111239.70568673468</v>
      </c>
      <c r="I12" s="106">
        <f t="shared" ca="1" si="0"/>
        <v>116807.65293087193</v>
      </c>
      <c r="J12" s="106">
        <f t="shared" ca="1" si="0"/>
        <v>122643.77167499201</v>
      </c>
      <c r="K12" s="106">
        <f t="shared" ca="1" si="0"/>
        <v>128749.74135361017</v>
      </c>
      <c r="L12" s="106">
        <f t="shared" ca="1" si="0"/>
        <v>135102.36002797305</v>
      </c>
      <c r="M12" s="106"/>
      <c r="N12" s="106"/>
      <c r="O12" s="157" t="s">
        <v>176</v>
      </c>
      <c r="P12" s="160" t="str">
        <f t="shared" si="1"/>
        <v>07890C</v>
      </c>
      <c r="Q12" s="152" t="str">
        <f t="shared" si="2"/>
        <v>Plan Examiner II Engineer</v>
      </c>
      <c r="R12" s="158" t="str">
        <f t="shared" si="3"/>
        <v>01</v>
      </c>
      <c r="S12" s="159" cm="1">
        <f t="array" aca="1" ref="S12" ca="1">IF($O12="Y",VLOOKUP($P12,INDIRECT($P$3),S$7,0)*INDIRECT($P$2),VLOOKUP($P12,INDIRECT($P$3),S$7,0))</f>
        <v>111239.70568673468</v>
      </c>
      <c r="T12" s="159" cm="1">
        <f t="array" aca="1" ref="T12" ca="1">IF($O12="Y",VLOOKUP($P12,INDIRECT($P$3),T$7,0)*INDIRECT($P$2),VLOOKUP($P12,INDIRECT($P$3),T$7,0))</f>
        <v>116807.65293087193</v>
      </c>
      <c r="U12" s="159" cm="1">
        <f t="array" aca="1" ref="U12" ca="1">IF($O12="Y",VLOOKUP($P12,INDIRECT($P$3),U$7,0)*INDIRECT($P$2),VLOOKUP($P12,INDIRECT($P$3),U$7,0))</f>
        <v>122643.77167499201</v>
      </c>
      <c r="V12" s="159" cm="1">
        <f t="array" aca="1" ref="V12" ca="1">IF($O12="Y",VLOOKUP($P12,INDIRECT($P$3),V$7,0)*INDIRECT($P$2),VLOOKUP($P12,INDIRECT($P$3),V$7,0))</f>
        <v>128749.74135361017</v>
      </c>
      <c r="W12" s="159" cm="1">
        <f t="array" aca="1" ref="W12" ca="1">IF($O12="Y",VLOOKUP($P12,INDIRECT($P$3),W$7,0)*INDIRECT($P$2),VLOOKUP($P12,INDIRECT($P$3),W$7,0))</f>
        <v>135102.36002797305</v>
      </c>
      <c r="X12" s="159"/>
      <c r="Y12" s="167" t="str">
        <f t="shared" si="4"/>
        <v>Y</v>
      </c>
      <c r="Z12" s="167" t="str">
        <f t="shared" si="4"/>
        <v>07890C</v>
      </c>
      <c r="AA12" s="168" t="str">
        <f t="shared" si="4"/>
        <v>Plan Examiner II Engineer</v>
      </c>
      <c r="AB12" s="167" t="str">
        <f t="shared" si="4"/>
        <v>01</v>
      </c>
      <c r="AC12" s="169">
        <f t="shared" ca="1" si="5"/>
        <v>53.481000000000002</v>
      </c>
      <c r="AD12" s="169">
        <f t="shared" ca="1" si="5"/>
        <v>56.158000000000001</v>
      </c>
      <c r="AE12" s="169">
        <f t="shared" ca="1" si="5"/>
        <v>58.963000000000001</v>
      </c>
      <c r="AF12" s="169">
        <f t="shared" ca="1" si="5"/>
        <v>61.899000000000001</v>
      </c>
      <c r="AG12" s="169">
        <f t="shared" ca="1" si="5"/>
        <v>64.953000000000003</v>
      </c>
      <c r="AH12" s="169"/>
      <c r="AI12" s="182">
        <f ca="1">AG12/'1-1-2027'!AG12</f>
        <v>1.0300026958024771</v>
      </c>
    </row>
    <row r="13" spans="1:35" ht="12.75" customHeight="1">
      <c r="A13" s="104" t="s">
        <v>9</v>
      </c>
      <c r="B13" s="138" t="s">
        <v>161</v>
      </c>
      <c r="C13" s="104" t="s">
        <v>48</v>
      </c>
      <c r="D13" s="105" t="s">
        <v>101</v>
      </c>
      <c r="E13" s="104">
        <v>578</v>
      </c>
      <c r="F13" s="104">
        <v>12</v>
      </c>
      <c r="G13" s="93" t="s">
        <v>6</v>
      </c>
      <c r="H13" s="106">
        <f t="shared" ca="1" si="0"/>
        <v>127174.20599550031</v>
      </c>
      <c r="I13" s="106">
        <f t="shared" ca="1" si="0"/>
        <v>133514.97198089072</v>
      </c>
      <c r="J13" s="106">
        <f t="shared" ca="1" si="0"/>
        <v>140205.80971696091</v>
      </c>
      <c r="K13" s="106">
        <f t="shared" ca="1" si="0"/>
        <v>147205.6340642336</v>
      </c>
      <c r="L13" s="106">
        <f t="shared" ca="1" si="0"/>
        <v>154555.53180572315</v>
      </c>
      <c r="M13" s="106">
        <f t="shared" ca="1" si="0"/>
        <v>162182.67190573149</v>
      </c>
      <c r="N13" s="106"/>
      <c r="O13" s="157" t="s">
        <v>176</v>
      </c>
      <c r="P13" s="160" t="str">
        <f t="shared" si="1"/>
        <v>04000C</v>
      </c>
      <c r="Q13" s="152" t="str">
        <f t="shared" si="2"/>
        <v>Principal Professional Engr</v>
      </c>
      <c r="R13" s="158" t="str">
        <f t="shared" si="3"/>
        <v>04</v>
      </c>
      <c r="S13" s="159" cm="1">
        <f t="array" aca="1" ref="S13" ca="1">IF($O13="Y",VLOOKUP($P13,INDIRECT($P$3),S$7,0)*INDIRECT($P$2),VLOOKUP($P13,INDIRECT($P$3),S$7,0))</f>
        <v>127174.20599550031</v>
      </c>
      <c r="T13" s="159" cm="1">
        <f t="array" aca="1" ref="T13" ca="1">IF($O13="Y",VLOOKUP($P13,INDIRECT($P$3),T$7,0)*INDIRECT($P$2),VLOOKUP($P13,INDIRECT($P$3),T$7,0))</f>
        <v>133514.97198089072</v>
      </c>
      <c r="U13" s="159" cm="1">
        <f t="array" aca="1" ref="U13" ca="1">IF($O13="Y",VLOOKUP($P13,INDIRECT($P$3),U$7,0)*INDIRECT($P$2),VLOOKUP($P13,INDIRECT($P$3),U$7,0))</f>
        <v>140205.80971696091</v>
      </c>
      <c r="V13" s="159" cm="1">
        <f t="array" aca="1" ref="V13" ca="1">IF($O13="Y",VLOOKUP($P13,INDIRECT($P$3),V$7,0)*INDIRECT($P$2),VLOOKUP($P13,INDIRECT($P$3),V$7,0))</f>
        <v>147205.6340642336</v>
      </c>
      <c r="W13" s="159" cm="1">
        <f t="array" aca="1" ref="W13" ca="1">IF($O13="Y",VLOOKUP($P13,INDIRECT($P$3),W$7,0)*INDIRECT($P$2),VLOOKUP($P13,INDIRECT($P$3),W$7,0))</f>
        <v>154555.53180572315</v>
      </c>
      <c r="X13" s="159" cm="1">
        <f t="array" aca="1" ref="X13" ca="1">IF($O13="Y",VLOOKUP($P13,INDIRECT($P$3),X$7,0)*INDIRECT($P$2),VLOOKUP($P13,INDIRECT($P$3),X$7,0))</f>
        <v>162182.67190573149</v>
      </c>
      <c r="Y13" s="167" t="str">
        <f t="shared" si="4"/>
        <v>Y</v>
      </c>
      <c r="Z13" s="167" t="str">
        <f t="shared" si="4"/>
        <v>04000C</v>
      </c>
      <c r="AA13" s="168" t="str">
        <f t="shared" si="4"/>
        <v>Principal Professional Engr</v>
      </c>
      <c r="AB13" s="167" t="str">
        <f t="shared" si="4"/>
        <v>04</v>
      </c>
      <c r="AC13" s="169">
        <f t="shared" ca="1" si="5"/>
        <v>61.140999999999998</v>
      </c>
      <c r="AD13" s="169">
        <f t="shared" ca="1" si="5"/>
        <v>64.19</v>
      </c>
      <c r="AE13" s="169">
        <f t="shared" ca="1" si="5"/>
        <v>67.406999999999996</v>
      </c>
      <c r="AF13" s="169">
        <f t="shared" ca="1" si="5"/>
        <v>70.772000000000006</v>
      </c>
      <c r="AG13" s="169">
        <f t="shared" ca="1" si="5"/>
        <v>74.305999999999997</v>
      </c>
      <c r="AH13" s="169">
        <f t="shared" ca="1" si="5"/>
        <v>77.971999999999994</v>
      </c>
      <c r="AI13" s="182">
        <f ca="1">AH13/'1-1-2027'!AH13</f>
        <v>1.0299996037040462</v>
      </c>
    </row>
    <row r="14" spans="1:35" ht="12.75" customHeight="1">
      <c r="A14" s="104" t="s">
        <v>10</v>
      </c>
      <c r="B14" s="138" t="s">
        <v>160</v>
      </c>
      <c r="C14" s="104" t="s">
        <v>48</v>
      </c>
      <c r="D14" s="105" t="s">
        <v>102</v>
      </c>
      <c r="E14" s="104">
        <v>485</v>
      </c>
      <c r="F14" s="104">
        <v>10</v>
      </c>
      <c r="G14" s="93" t="s">
        <v>6</v>
      </c>
      <c r="H14" s="106">
        <f t="shared" ca="1" si="0"/>
        <v>111239.70568673468</v>
      </c>
      <c r="I14" s="106">
        <f t="shared" ca="1" si="0"/>
        <v>116807.65293087193</v>
      </c>
      <c r="J14" s="106">
        <f t="shared" ca="1" si="0"/>
        <v>122643.77167499201</v>
      </c>
      <c r="K14" s="106">
        <f t="shared" ca="1" si="0"/>
        <v>128749.74135361017</v>
      </c>
      <c r="L14" s="106">
        <f t="shared" ca="1" si="0"/>
        <v>135102.36002797305</v>
      </c>
      <c r="M14" s="106"/>
      <c r="N14" s="106"/>
      <c r="O14" s="157" t="s">
        <v>176</v>
      </c>
      <c r="P14" s="160" t="str">
        <f t="shared" si="1"/>
        <v>03980C</v>
      </c>
      <c r="Q14" s="152" t="str">
        <f t="shared" si="2"/>
        <v>Professional Engineer</v>
      </c>
      <c r="R14" s="158" t="str">
        <f t="shared" si="3"/>
        <v>01</v>
      </c>
      <c r="S14" s="159" cm="1">
        <f t="array" aca="1" ref="S14" ca="1">IF($O14="Y",VLOOKUP($P14,INDIRECT($P$3),S$7,0)*INDIRECT($P$2),VLOOKUP($P14,INDIRECT($P$3),S$7,0))</f>
        <v>111239.70568673468</v>
      </c>
      <c r="T14" s="159" cm="1">
        <f t="array" aca="1" ref="T14" ca="1">IF($O14="Y",VLOOKUP($P14,INDIRECT($P$3),T$7,0)*INDIRECT($P$2),VLOOKUP($P14,INDIRECT($P$3),T$7,0))</f>
        <v>116807.65293087193</v>
      </c>
      <c r="U14" s="159" cm="1">
        <f t="array" aca="1" ref="U14" ca="1">IF($O14="Y",VLOOKUP($P14,INDIRECT($P$3),U$7,0)*INDIRECT($P$2),VLOOKUP($P14,INDIRECT($P$3),U$7,0))</f>
        <v>122643.77167499201</v>
      </c>
      <c r="V14" s="159" cm="1">
        <f t="array" aca="1" ref="V14" ca="1">IF($O14="Y",VLOOKUP($P14,INDIRECT($P$3),V$7,0)*INDIRECT($P$2),VLOOKUP($P14,INDIRECT($P$3),V$7,0))</f>
        <v>128749.74135361017</v>
      </c>
      <c r="W14" s="159" cm="1">
        <f t="array" aca="1" ref="W14" ca="1">IF($O14="Y",VLOOKUP($P14,INDIRECT($P$3),W$7,0)*INDIRECT($P$2),VLOOKUP($P14,INDIRECT($P$3),W$7,0))</f>
        <v>135102.36002797305</v>
      </c>
      <c r="X14" s="159"/>
      <c r="Y14" s="167" t="str">
        <f t="shared" si="4"/>
        <v>Y</v>
      </c>
      <c r="Z14" s="167" t="str">
        <f t="shared" si="4"/>
        <v>03980C</v>
      </c>
      <c r="AA14" s="168" t="str">
        <f t="shared" si="4"/>
        <v>Professional Engineer</v>
      </c>
      <c r="AB14" s="167" t="str">
        <f t="shared" si="4"/>
        <v>01</v>
      </c>
      <c r="AC14" s="169">
        <f t="shared" ca="1" si="5"/>
        <v>53.481000000000002</v>
      </c>
      <c r="AD14" s="169">
        <f t="shared" ca="1" si="5"/>
        <v>56.158000000000001</v>
      </c>
      <c r="AE14" s="169">
        <f t="shared" ca="1" si="5"/>
        <v>58.963000000000001</v>
      </c>
      <c r="AF14" s="169">
        <f t="shared" ca="1" si="5"/>
        <v>61.899000000000001</v>
      </c>
      <c r="AG14" s="169">
        <f t="shared" ca="1" si="5"/>
        <v>64.953000000000003</v>
      </c>
      <c r="AH14" s="169"/>
      <c r="AI14" s="182">
        <f ca="1">AG14/'1-1-2027'!AG14</f>
        <v>1.0300026958024771</v>
      </c>
    </row>
    <row r="15" spans="1:35" ht="12.75" customHeight="1">
      <c r="A15" s="104" t="s">
        <v>11</v>
      </c>
      <c r="B15" s="138" t="s">
        <v>162</v>
      </c>
      <c r="C15" s="104" t="s">
        <v>48</v>
      </c>
      <c r="D15" s="105" t="s">
        <v>103</v>
      </c>
      <c r="E15" s="104">
        <v>523</v>
      </c>
      <c r="F15" s="104">
        <v>11</v>
      </c>
      <c r="G15" s="93" t="s">
        <v>6</v>
      </c>
      <c r="H15" s="106">
        <f t="shared" ca="1" si="0"/>
        <v>115639.8612504934</v>
      </c>
      <c r="I15" s="106">
        <f t="shared" ca="1" si="0"/>
        <v>121410.31987535238</v>
      </c>
      <c r="J15" s="106">
        <f t="shared" ca="1" si="0"/>
        <v>127483.1893196287</v>
      </c>
      <c r="K15" s="106">
        <f t="shared" ca="1" si="0"/>
        <v>133822.31176795714</v>
      </c>
      <c r="L15" s="106">
        <f t="shared" ca="1" si="0"/>
        <v>140514.79632816353</v>
      </c>
      <c r="M15" s="106">
        <f t="shared" ca="1" si="0"/>
        <v>147448.47895663348</v>
      </c>
      <c r="N15" s="106"/>
      <c r="O15" s="157" t="s">
        <v>176</v>
      </c>
      <c r="P15" s="160" t="str">
        <f t="shared" si="1"/>
        <v>03990C</v>
      </c>
      <c r="Q15" s="152" t="str">
        <f t="shared" si="2"/>
        <v>Senior Professional Engineer</v>
      </c>
      <c r="R15" s="158" t="str">
        <f t="shared" si="3"/>
        <v>02</v>
      </c>
      <c r="S15" s="159" cm="1">
        <f t="array" aca="1" ref="S15" ca="1">IF($O15="Y",VLOOKUP($P15,INDIRECT($P$3),S$7,0)*INDIRECT($P$2),VLOOKUP($P15,INDIRECT($P$3),S$7,0))</f>
        <v>115639.8612504934</v>
      </c>
      <c r="T15" s="159" cm="1">
        <f t="array" aca="1" ref="T15" ca="1">IF($O15="Y",VLOOKUP($P15,INDIRECT($P$3),T$7,0)*INDIRECT($P$2),VLOOKUP($P15,INDIRECT($P$3),T$7,0))</f>
        <v>121410.31987535238</v>
      </c>
      <c r="U15" s="159" cm="1">
        <f t="array" aca="1" ref="U15" ca="1">IF($O15="Y",VLOOKUP($P15,INDIRECT($P$3),U$7,0)*INDIRECT($P$2),VLOOKUP($P15,INDIRECT($P$3),U$7,0))</f>
        <v>127483.1893196287</v>
      </c>
      <c r="V15" s="159" cm="1">
        <f t="array" aca="1" ref="V15" ca="1">IF($O15="Y",VLOOKUP($P15,INDIRECT($P$3),V$7,0)*INDIRECT($P$2),VLOOKUP($P15,INDIRECT($P$3),V$7,0))</f>
        <v>133822.31176795714</v>
      </c>
      <c r="W15" s="159" cm="1">
        <f t="array" aca="1" ref="W15" ca="1">IF($O15="Y",VLOOKUP($P15,INDIRECT($P$3),W$7,0)*INDIRECT($P$2),VLOOKUP($P15,INDIRECT($P$3),W$7,0))</f>
        <v>140514.79632816353</v>
      </c>
      <c r="X15" s="159" cm="1">
        <f t="array" aca="1" ref="X15" ca="1">IF($O15="Y",VLOOKUP($P15,INDIRECT($P$3),X$7,0)*INDIRECT($P$2),VLOOKUP($P15,INDIRECT($P$3),X$7,0))</f>
        <v>147448.47895663348</v>
      </c>
      <c r="Y15" s="167" t="str">
        <f t="shared" si="4"/>
        <v>Y</v>
      </c>
      <c r="Z15" s="167" t="str">
        <f t="shared" si="4"/>
        <v>03990C</v>
      </c>
      <c r="AA15" s="168" t="str">
        <f t="shared" si="4"/>
        <v>Senior Professional Engineer</v>
      </c>
      <c r="AB15" s="167" t="str">
        <f t="shared" si="4"/>
        <v>02</v>
      </c>
      <c r="AC15" s="169">
        <f t="shared" ca="1" si="5"/>
        <v>55.595999999999997</v>
      </c>
      <c r="AD15" s="169">
        <f t="shared" ca="1" si="5"/>
        <v>58.37</v>
      </c>
      <c r="AE15" s="169">
        <f t="shared" ca="1" si="5"/>
        <v>61.29</v>
      </c>
      <c r="AF15" s="169">
        <f t="shared" ca="1" si="5"/>
        <v>64.337999999999994</v>
      </c>
      <c r="AG15" s="169">
        <f t="shared" ca="1" si="5"/>
        <v>67.555000000000007</v>
      </c>
      <c r="AH15" s="169">
        <f t="shared" ca="1" si="5"/>
        <v>70.888999999999996</v>
      </c>
      <c r="AI15" s="182">
        <f ca="1">AH15/'1-1-2027'!AH15</f>
        <v>1.0300040683482505</v>
      </c>
    </row>
    <row r="16" spans="1:35" ht="12.75" customHeight="1">
      <c r="A16" s="104" t="s">
        <v>203</v>
      </c>
      <c r="B16" s="138" t="s">
        <v>162</v>
      </c>
      <c r="C16" s="104" t="s">
        <v>48</v>
      </c>
      <c r="D16" s="105" t="s">
        <v>204</v>
      </c>
      <c r="E16" s="104">
        <v>508</v>
      </c>
      <c r="F16" s="104">
        <v>11</v>
      </c>
      <c r="G16" s="93" t="s">
        <v>6</v>
      </c>
      <c r="H16" s="106">
        <f t="shared" ca="1" si="0"/>
        <v>115639.8612504934</v>
      </c>
      <c r="I16" s="106">
        <f t="shared" ca="1" si="0"/>
        <v>121410.31987535238</v>
      </c>
      <c r="J16" s="106">
        <f t="shared" ca="1" si="0"/>
        <v>127483.1893196287</v>
      </c>
      <c r="K16" s="106">
        <f t="shared" ca="1" si="0"/>
        <v>133822.31176795714</v>
      </c>
      <c r="L16" s="106">
        <f t="shared" ca="1" si="0"/>
        <v>140514.79632816353</v>
      </c>
      <c r="M16" s="106">
        <f t="shared" ca="1" si="0"/>
        <v>147448.47895663348</v>
      </c>
      <c r="N16" s="106"/>
      <c r="O16" s="157" t="s">
        <v>176</v>
      </c>
      <c r="P16" s="160" t="str">
        <f t="shared" si="1"/>
        <v>59513C</v>
      </c>
      <c r="Q16" s="152" t="str">
        <f t="shared" si="2"/>
        <v>Senior Professional Electrical Engineer</v>
      </c>
      <c r="R16" s="158" t="str">
        <f t="shared" si="3"/>
        <v>02</v>
      </c>
      <c r="S16" s="159" cm="1">
        <f t="array" aca="1" ref="S16" ca="1">IF($O16="Y",VLOOKUP($P16,INDIRECT($P$3),S$7,0)*INDIRECT($P$2),VLOOKUP($P16,INDIRECT($P$3),S$7,0))</f>
        <v>115639.8612504934</v>
      </c>
      <c r="T16" s="159" cm="1">
        <f t="array" aca="1" ref="T16" ca="1">IF($O16="Y",VLOOKUP($P16,INDIRECT($P$3),T$7,0)*INDIRECT($P$2),VLOOKUP($P16,INDIRECT($P$3),T$7,0))</f>
        <v>121410.31987535238</v>
      </c>
      <c r="U16" s="159" cm="1">
        <f t="array" aca="1" ref="U16" ca="1">IF($O16="Y",VLOOKUP($P16,INDIRECT($P$3),U$7,0)*INDIRECT($P$2),VLOOKUP($P16,INDIRECT($P$3),U$7,0))</f>
        <v>127483.1893196287</v>
      </c>
      <c r="V16" s="159" cm="1">
        <f t="array" aca="1" ref="V16" ca="1">IF($O16="Y",VLOOKUP($P16,INDIRECT($P$3),V$7,0)*INDIRECT($P$2),VLOOKUP($P16,INDIRECT($P$3),V$7,0))</f>
        <v>133822.31176795714</v>
      </c>
      <c r="W16" s="159" cm="1">
        <f t="array" aca="1" ref="W16" ca="1">IF($O16="Y",VLOOKUP($P16,INDIRECT($P$3),W$7,0)*INDIRECT($P$2),VLOOKUP($P16,INDIRECT($P$3),W$7,0))</f>
        <v>140514.79632816353</v>
      </c>
      <c r="X16" s="159" cm="1">
        <f t="array" aca="1" ref="X16" ca="1">IF($O16="Y",VLOOKUP($P16,INDIRECT($P$3),X$7,0)*INDIRECT($P$2),VLOOKUP($P16,INDIRECT($P$3),X$7,0))</f>
        <v>147448.47895663348</v>
      </c>
      <c r="Y16" s="167" t="str">
        <f t="shared" si="4"/>
        <v>Y</v>
      </c>
      <c r="Z16" s="167" t="str">
        <f t="shared" si="4"/>
        <v>59513C</v>
      </c>
      <c r="AA16" s="168" t="str">
        <f t="shared" si="4"/>
        <v>Senior Professional Electrical Engineer</v>
      </c>
      <c r="AB16" s="167" t="str">
        <f t="shared" si="4"/>
        <v>02</v>
      </c>
      <c r="AC16" s="169">
        <f t="shared" ca="1" si="5"/>
        <v>55.595999999999997</v>
      </c>
      <c r="AD16" s="169">
        <f t="shared" ca="1" si="5"/>
        <v>58.37</v>
      </c>
      <c r="AE16" s="169">
        <f t="shared" ca="1" si="5"/>
        <v>61.29</v>
      </c>
      <c r="AF16" s="169">
        <f t="shared" ca="1" si="5"/>
        <v>64.337999999999994</v>
      </c>
      <c r="AG16" s="169">
        <f t="shared" ca="1" si="5"/>
        <v>67.555000000000007</v>
      </c>
      <c r="AH16" s="169">
        <f t="shared" ca="1" si="5"/>
        <v>70.888999999999996</v>
      </c>
      <c r="AI16" s="182">
        <f ca="1">AH16/'1-1-2027'!AH16</f>
        <v>1.0300040683482505</v>
      </c>
    </row>
    <row r="17" spans="1:35" ht="12.75" customHeight="1">
      <c r="A17" s="104" t="s">
        <v>172</v>
      </c>
      <c r="B17" s="138" t="s">
        <v>163</v>
      </c>
      <c r="C17" s="104" t="s">
        <v>48</v>
      </c>
      <c r="D17" s="105" t="s">
        <v>173</v>
      </c>
      <c r="E17" s="104">
        <v>625</v>
      </c>
      <c r="F17" s="104">
        <v>13</v>
      </c>
      <c r="G17" s="93" t="s">
        <v>6</v>
      </c>
      <c r="H17" s="106">
        <f t="shared" ca="1" si="0"/>
        <v>134218.40584344836</v>
      </c>
      <c r="I17" s="106">
        <f t="shared" ca="1" si="0"/>
        <v>140909.24357951854</v>
      </c>
      <c r="J17" s="106">
        <f t="shared" ca="1" si="0"/>
        <v>147953.44342746661</v>
      </c>
      <c r="K17" s="106">
        <f t="shared" ca="1" si="0"/>
        <v>155349.36185023058</v>
      </c>
      <c r="L17" s="106">
        <f t="shared" ca="1" si="0"/>
        <v>163096.99556073616</v>
      </c>
      <c r="M17" s="106">
        <f t="shared" ca="1" si="0"/>
        <v>171145.98976292141</v>
      </c>
      <c r="N17" s="106"/>
      <c r="O17" s="157" t="s">
        <v>176</v>
      </c>
      <c r="P17" s="160" t="str">
        <f t="shared" si="1"/>
        <v>53044C</v>
      </c>
      <c r="Q17" s="152" t="str">
        <f t="shared" si="2"/>
        <v>Sewer Operations Engineer</v>
      </c>
      <c r="R17" s="158" t="str">
        <f t="shared" si="3"/>
        <v>05</v>
      </c>
      <c r="S17" s="159" cm="1">
        <f t="array" aca="1" ref="S17" ca="1">IF($O17="Y",VLOOKUP($P17,INDIRECT($P$3),S$7,0)*INDIRECT($P$2),VLOOKUP($P17,INDIRECT($P$3),S$7,0))</f>
        <v>134218.40584344836</v>
      </c>
      <c r="T17" s="159" cm="1">
        <f t="array" aca="1" ref="T17" ca="1">IF($O17="Y",VLOOKUP($P17,INDIRECT($P$3),T$7,0)*INDIRECT($P$2),VLOOKUP($P17,INDIRECT($P$3),T$7,0))</f>
        <v>140909.24357951854</v>
      </c>
      <c r="U17" s="159" cm="1">
        <f t="array" aca="1" ref="U17" ca="1">IF($O17="Y",VLOOKUP($P17,INDIRECT($P$3),U$7,0)*INDIRECT($P$2),VLOOKUP($P17,INDIRECT($P$3),U$7,0))</f>
        <v>147953.44342746661</v>
      </c>
      <c r="V17" s="159" cm="1">
        <f t="array" aca="1" ref="V17" ca="1">IF($O17="Y",VLOOKUP($P17,INDIRECT($P$3),V$7,0)*INDIRECT($P$2),VLOOKUP($P17,INDIRECT($P$3),V$7,0))</f>
        <v>155349.36185023058</v>
      </c>
      <c r="W17" s="159" cm="1">
        <f t="array" aca="1" ref="W17" ca="1">IF($O17="Y",VLOOKUP($P17,INDIRECT($P$3),W$7,0)*INDIRECT($P$2),VLOOKUP($P17,INDIRECT($P$3),W$7,0))</f>
        <v>163096.99556073616</v>
      </c>
      <c r="X17" s="159" cm="1">
        <f t="array" aca="1" ref="X17" ca="1">IF($O17="Y",VLOOKUP($P17,INDIRECT($P$3),X$7,0)*INDIRECT($P$2),VLOOKUP($P17,INDIRECT($P$3),X$7,0))</f>
        <v>171145.98976292141</v>
      </c>
      <c r="Y17" s="167" t="str">
        <f t="shared" si="4"/>
        <v>Y</v>
      </c>
      <c r="Z17" s="167" t="str">
        <f t="shared" si="4"/>
        <v>53044C</v>
      </c>
      <c r="AA17" s="168" t="str">
        <f t="shared" si="4"/>
        <v>Sewer Operations Engineer</v>
      </c>
      <c r="AB17" s="167" t="str">
        <f t="shared" si="4"/>
        <v>05</v>
      </c>
      <c r="AC17" s="169">
        <f t="shared" ca="1" si="5"/>
        <v>64.528000000000006</v>
      </c>
      <c r="AD17" s="169">
        <f t="shared" ca="1" si="5"/>
        <v>67.745000000000005</v>
      </c>
      <c r="AE17" s="169">
        <f t="shared" ca="1" si="5"/>
        <v>71.131</v>
      </c>
      <c r="AF17" s="169">
        <f t="shared" ca="1" si="5"/>
        <v>74.686999999999998</v>
      </c>
      <c r="AG17" s="169">
        <f t="shared" ca="1" si="5"/>
        <v>78.412000000000006</v>
      </c>
      <c r="AH17" s="169">
        <f t="shared" ca="1" si="5"/>
        <v>82.281999999999996</v>
      </c>
      <c r="AI17" s="182">
        <f ca="1">AH17/'1-1-2027'!AH17</f>
        <v>1.0300056330975778</v>
      </c>
    </row>
    <row r="18" spans="1:35" ht="12.75" customHeight="1">
      <c r="A18" s="104" t="s">
        <v>16</v>
      </c>
      <c r="B18" s="138" t="s">
        <v>163</v>
      </c>
      <c r="C18" s="104" t="s">
        <v>48</v>
      </c>
      <c r="D18" s="105" t="s">
        <v>104</v>
      </c>
      <c r="E18" s="104">
        <v>625</v>
      </c>
      <c r="F18" s="104">
        <v>13</v>
      </c>
      <c r="G18" s="93" t="s">
        <v>6</v>
      </c>
      <c r="H18" s="106">
        <f t="shared" ca="1" si="0"/>
        <v>134218.40584344836</v>
      </c>
      <c r="I18" s="106">
        <f t="shared" ca="1" si="0"/>
        <v>140909.24357951854</v>
      </c>
      <c r="J18" s="106">
        <f t="shared" ca="1" si="0"/>
        <v>147953.44342746661</v>
      </c>
      <c r="K18" s="106">
        <f t="shared" ca="1" si="0"/>
        <v>155349.36185023058</v>
      </c>
      <c r="L18" s="106">
        <f t="shared" ca="1" si="0"/>
        <v>163096.99556073616</v>
      </c>
      <c r="M18" s="106">
        <f t="shared" ca="1" si="0"/>
        <v>171145.98976292141</v>
      </c>
      <c r="N18" s="106"/>
      <c r="O18" s="157" t="s">
        <v>176</v>
      </c>
      <c r="P18" s="160" t="str">
        <f t="shared" si="1"/>
        <v>09440C</v>
      </c>
      <c r="Q18" s="152" t="str">
        <f t="shared" si="2"/>
        <v>Street Maintenance Engineer</v>
      </c>
      <c r="R18" s="158" t="str">
        <f t="shared" si="3"/>
        <v>05</v>
      </c>
      <c r="S18" s="159" cm="1">
        <f t="array" aca="1" ref="S18" ca="1">IF($O18="Y",VLOOKUP($P18,INDIRECT($P$3),S$7,0)*INDIRECT($P$2),VLOOKUP($P18,INDIRECT($P$3),S$7,0))</f>
        <v>134218.40584344836</v>
      </c>
      <c r="T18" s="159" cm="1">
        <f t="array" aca="1" ref="T18" ca="1">IF($O18="Y",VLOOKUP($P18,INDIRECT($P$3),T$7,0)*INDIRECT($P$2),VLOOKUP($P18,INDIRECT($P$3),T$7,0))</f>
        <v>140909.24357951854</v>
      </c>
      <c r="U18" s="159" cm="1">
        <f t="array" aca="1" ref="U18" ca="1">IF($O18="Y",VLOOKUP($P18,INDIRECT($P$3),U$7,0)*INDIRECT($P$2),VLOOKUP($P18,INDIRECT($P$3),U$7,0))</f>
        <v>147953.44342746661</v>
      </c>
      <c r="V18" s="159" cm="1">
        <f t="array" aca="1" ref="V18" ca="1">IF($O18="Y",VLOOKUP($P18,INDIRECT($P$3),V$7,0)*INDIRECT($P$2),VLOOKUP($P18,INDIRECT($P$3),V$7,0))</f>
        <v>155349.36185023058</v>
      </c>
      <c r="W18" s="159" cm="1">
        <f t="array" aca="1" ref="W18" ca="1">IF($O18="Y",VLOOKUP($P18,INDIRECT($P$3),W$7,0)*INDIRECT($P$2),VLOOKUP($P18,INDIRECT($P$3),W$7,0))</f>
        <v>163096.99556073616</v>
      </c>
      <c r="X18" s="159" cm="1">
        <f t="array" aca="1" ref="X18" ca="1">IF($O18="Y",VLOOKUP($P18,INDIRECT($P$3),X$7,0)*INDIRECT($P$2),VLOOKUP($P18,INDIRECT($P$3),X$7,0))</f>
        <v>171145.98976292141</v>
      </c>
      <c r="Y18" s="167" t="str">
        <f t="shared" si="4"/>
        <v>Y</v>
      </c>
      <c r="Z18" s="167" t="str">
        <f t="shared" si="4"/>
        <v>09440C</v>
      </c>
      <c r="AA18" s="168" t="str">
        <f t="shared" si="4"/>
        <v>Street Maintenance Engineer</v>
      </c>
      <c r="AB18" s="167" t="str">
        <f t="shared" si="4"/>
        <v>05</v>
      </c>
      <c r="AC18" s="169">
        <f t="shared" ca="1" si="5"/>
        <v>64.528000000000006</v>
      </c>
      <c r="AD18" s="169">
        <f t="shared" ca="1" si="5"/>
        <v>67.745000000000005</v>
      </c>
      <c r="AE18" s="169">
        <f t="shared" ca="1" si="5"/>
        <v>71.131</v>
      </c>
      <c r="AF18" s="169">
        <f t="shared" ca="1" si="5"/>
        <v>74.686999999999998</v>
      </c>
      <c r="AG18" s="169">
        <f t="shared" ca="1" si="5"/>
        <v>78.412000000000006</v>
      </c>
      <c r="AH18" s="169">
        <f t="shared" ca="1" si="5"/>
        <v>82.281999999999996</v>
      </c>
      <c r="AI18" s="182">
        <f ca="1">AH18/'1-1-2027'!AH18</f>
        <v>1.0300056330975778</v>
      </c>
    </row>
    <row r="19" spans="1:35" ht="12.75" customHeight="1">
      <c r="A19" s="104" t="s">
        <v>18</v>
      </c>
      <c r="B19" s="138" t="s">
        <v>163</v>
      </c>
      <c r="C19" s="104" t="s">
        <v>48</v>
      </c>
      <c r="D19" s="105" t="s">
        <v>105</v>
      </c>
      <c r="E19" s="104">
        <v>588</v>
      </c>
      <c r="F19" s="104">
        <v>13</v>
      </c>
      <c r="G19" s="93" t="s">
        <v>6</v>
      </c>
      <c r="H19" s="106">
        <f t="shared" ca="1" si="0"/>
        <v>134218.40584344836</v>
      </c>
      <c r="I19" s="106">
        <f t="shared" ca="1" si="0"/>
        <v>140909.24357951854</v>
      </c>
      <c r="J19" s="106">
        <f t="shared" ca="1" si="0"/>
        <v>147953.44342746661</v>
      </c>
      <c r="K19" s="106">
        <f t="shared" ca="1" si="0"/>
        <v>155349.36185023058</v>
      </c>
      <c r="L19" s="106">
        <f t="shared" ca="1" si="0"/>
        <v>163096.99556073616</v>
      </c>
      <c r="M19" s="106">
        <f t="shared" ca="1" si="0"/>
        <v>171145.98976292141</v>
      </c>
      <c r="N19" s="106"/>
      <c r="O19" s="157" t="s">
        <v>176</v>
      </c>
      <c r="P19" s="160" t="str">
        <f t="shared" si="1"/>
        <v>09750C</v>
      </c>
      <c r="Q19" s="152" t="str">
        <f t="shared" si="2"/>
        <v>Supt, Environmental Engnrg</v>
      </c>
      <c r="R19" s="158" t="str">
        <f t="shared" si="3"/>
        <v>05</v>
      </c>
      <c r="S19" s="159" cm="1">
        <f t="array" aca="1" ref="S19" ca="1">IF($O19="Y",VLOOKUP($P19,INDIRECT($P$3),S$7,0)*INDIRECT($P$2),VLOOKUP($P19,INDIRECT($P$3),S$7,0))</f>
        <v>134218.40584344836</v>
      </c>
      <c r="T19" s="159" cm="1">
        <f t="array" aca="1" ref="T19" ca="1">IF($O19="Y",VLOOKUP($P19,INDIRECT($P$3),T$7,0)*INDIRECT($P$2),VLOOKUP($P19,INDIRECT($P$3),T$7,0))</f>
        <v>140909.24357951854</v>
      </c>
      <c r="U19" s="159" cm="1">
        <f t="array" aca="1" ref="U19" ca="1">IF($O19="Y",VLOOKUP($P19,INDIRECT($P$3),U$7,0)*INDIRECT($P$2),VLOOKUP($P19,INDIRECT($P$3),U$7,0))</f>
        <v>147953.44342746661</v>
      </c>
      <c r="V19" s="159" cm="1">
        <f t="array" aca="1" ref="V19" ca="1">IF($O19="Y",VLOOKUP($P19,INDIRECT($P$3),V$7,0)*INDIRECT($P$2),VLOOKUP($P19,INDIRECT($P$3),V$7,0))</f>
        <v>155349.36185023058</v>
      </c>
      <c r="W19" s="159" cm="1">
        <f t="array" aca="1" ref="W19" ca="1">IF($O19="Y",VLOOKUP($P19,INDIRECT($P$3),W$7,0)*INDIRECT($P$2),VLOOKUP($P19,INDIRECT($P$3),W$7,0))</f>
        <v>163096.99556073616</v>
      </c>
      <c r="X19" s="159" cm="1">
        <f t="array" aca="1" ref="X19" ca="1">IF($O19="Y",VLOOKUP($P19,INDIRECT($P$3),X$7,0)*INDIRECT($P$2),VLOOKUP($P19,INDIRECT($P$3),X$7,0))</f>
        <v>171145.98976292141</v>
      </c>
      <c r="Y19" s="167" t="str">
        <f t="shared" si="4"/>
        <v>Y</v>
      </c>
      <c r="Z19" s="167" t="str">
        <f t="shared" si="4"/>
        <v>09750C</v>
      </c>
      <c r="AA19" s="168" t="str">
        <f t="shared" si="4"/>
        <v>Supt, Environmental Engnrg</v>
      </c>
      <c r="AB19" s="167" t="str">
        <f t="shared" si="4"/>
        <v>05</v>
      </c>
      <c r="AC19" s="169">
        <f t="shared" ca="1" si="5"/>
        <v>64.528000000000006</v>
      </c>
      <c r="AD19" s="169">
        <f t="shared" ca="1" si="5"/>
        <v>67.745000000000005</v>
      </c>
      <c r="AE19" s="169">
        <f t="shared" ca="1" si="5"/>
        <v>71.131</v>
      </c>
      <c r="AF19" s="169">
        <f t="shared" ca="1" si="5"/>
        <v>74.686999999999998</v>
      </c>
      <c r="AG19" s="169">
        <f t="shared" ca="1" si="5"/>
        <v>78.412000000000006</v>
      </c>
      <c r="AH19" s="169">
        <f t="shared" ca="1" si="5"/>
        <v>82.281999999999996</v>
      </c>
      <c r="AI19" s="182">
        <f ca="1">AH19/'1-1-2027'!AH19</f>
        <v>1.0300056330975778</v>
      </c>
    </row>
    <row r="20" spans="1:35" ht="12.75" customHeight="1">
      <c r="A20" s="104" t="s">
        <v>20</v>
      </c>
      <c r="B20" s="138" t="s">
        <v>163</v>
      </c>
      <c r="C20" s="104" t="s">
        <v>48</v>
      </c>
      <c r="D20" s="105" t="s">
        <v>107</v>
      </c>
      <c r="E20" s="104">
        <v>605</v>
      </c>
      <c r="F20" s="104">
        <v>13</v>
      </c>
      <c r="G20" s="93" t="s">
        <v>6</v>
      </c>
      <c r="H20" s="106">
        <f t="shared" ca="1" si="0"/>
        <v>134218.40584344836</v>
      </c>
      <c r="I20" s="106">
        <f t="shared" ca="1" si="0"/>
        <v>140909.24357951854</v>
      </c>
      <c r="J20" s="106">
        <f t="shared" ca="1" si="0"/>
        <v>147953.44342746661</v>
      </c>
      <c r="K20" s="106">
        <f t="shared" ca="1" si="0"/>
        <v>155349.36185023058</v>
      </c>
      <c r="L20" s="106">
        <f t="shared" ca="1" si="0"/>
        <v>163096.99556073616</v>
      </c>
      <c r="M20" s="106">
        <f t="shared" ca="1" si="0"/>
        <v>171145.98976292141</v>
      </c>
      <c r="N20" s="106"/>
      <c r="O20" s="157" t="s">
        <v>176</v>
      </c>
      <c r="P20" s="160" t="str">
        <f t="shared" si="1"/>
        <v>09790C</v>
      </c>
      <c r="Q20" s="152" t="str">
        <f t="shared" si="2"/>
        <v xml:space="preserve">Supt, Water Plant Operations </v>
      </c>
      <c r="R20" s="158" t="str">
        <f t="shared" si="3"/>
        <v>05</v>
      </c>
      <c r="S20" s="159" cm="1">
        <f t="array" aca="1" ref="S20" ca="1">IF($O20="Y",VLOOKUP($P20,INDIRECT($P$3),S$7,0)*INDIRECT($P$2),VLOOKUP($P20,INDIRECT($P$3),S$7,0))</f>
        <v>134218.40584344836</v>
      </c>
      <c r="T20" s="159" cm="1">
        <f t="array" aca="1" ref="T20" ca="1">IF($O20="Y",VLOOKUP($P20,INDIRECT($P$3),T$7,0)*INDIRECT($P$2),VLOOKUP($P20,INDIRECT($P$3),T$7,0))</f>
        <v>140909.24357951854</v>
      </c>
      <c r="U20" s="159" cm="1">
        <f t="array" aca="1" ref="U20" ca="1">IF($O20="Y",VLOOKUP($P20,INDIRECT($P$3),U$7,0)*INDIRECT($P$2),VLOOKUP($P20,INDIRECT($P$3),U$7,0))</f>
        <v>147953.44342746661</v>
      </c>
      <c r="V20" s="159" cm="1">
        <f t="array" aca="1" ref="V20" ca="1">IF($O20="Y",VLOOKUP($P20,INDIRECT($P$3),V$7,0)*INDIRECT($P$2),VLOOKUP($P20,INDIRECT($P$3),V$7,0))</f>
        <v>155349.36185023058</v>
      </c>
      <c r="W20" s="159" cm="1">
        <f t="array" aca="1" ref="W20" ca="1">IF($O20="Y",VLOOKUP($P20,INDIRECT($P$3),W$7,0)*INDIRECT($P$2),VLOOKUP($P20,INDIRECT($P$3),W$7,0))</f>
        <v>163096.99556073616</v>
      </c>
      <c r="X20" s="159" cm="1">
        <f t="array" aca="1" ref="X20" ca="1">IF($O20="Y",VLOOKUP($P20,INDIRECT($P$3),X$7,0)*INDIRECT($P$2),VLOOKUP($P20,INDIRECT($P$3),X$7,0))</f>
        <v>171145.98976292141</v>
      </c>
      <c r="Y20" s="167" t="str">
        <f t="shared" si="4"/>
        <v>Y</v>
      </c>
      <c r="Z20" s="167" t="str">
        <f t="shared" si="4"/>
        <v>09790C</v>
      </c>
      <c r="AA20" s="168" t="str">
        <f t="shared" si="4"/>
        <v xml:space="preserve">Supt, Water Plant Operations </v>
      </c>
      <c r="AB20" s="167" t="str">
        <f t="shared" si="4"/>
        <v>05</v>
      </c>
      <c r="AC20" s="169">
        <f t="shared" ca="1" si="5"/>
        <v>64.528000000000006</v>
      </c>
      <c r="AD20" s="169">
        <f t="shared" ca="1" si="5"/>
        <v>67.745000000000005</v>
      </c>
      <c r="AE20" s="169">
        <f t="shared" ca="1" si="5"/>
        <v>71.131</v>
      </c>
      <c r="AF20" s="169">
        <f t="shared" ca="1" si="5"/>
        <v>74.686999999999998</v>
      </c>
      <c r="AG20" s="169">
        <f t="shared" ca="1" si="5"/>
        <v>78.412000000000006</v>
      </c>
      <c r="AH20" s="169">
        <f t="shared" ca="1" si="5"/>
        <v>82.281999999999996</v>
      </c>
      <c r="AI20" s="182">
        <f ca="1">AH20/'1-1-2027'!AH20</f>
        <v>1.0300056330975778</v>
      </c>
    </row>
    <row r="21" spans="1:35" ht="12.75" customHeight="1">
      <c r="A21" s="104" t="s">
        <v>127</v>
      </c>
      <c r="B21" s="139" t="s">
        <v>163</v>
      </c>
      <c r="C21" s="104" t="s">
        <v>48</v>
      </c>
      <c r="D21" s="105" t="s">
        <v>125</v>
      </c>
      <c r="E21" s="104">
        <v>600</v>
      </c>
      <c r="F21" s="104">
        <v>13</v>
      </c>
      <c r="G21" s="93" t="s">
        <v>6</v>
      </c>
      <c r="H21" s="106">
        <f t="shared" ca="1" si="0"/>
        <v>134218.40584344836</v>
      </c>
      <c r="I21" s="106">
        <f t="shared" ca="1" si="0"/>
        <v>140909.24357951854</v>
      </c>
      <c r="J21" s="106">
        <f t="shared" ca="1" si="0"/>
        <v>147953.44342746661</v>
      </c>
      <c r="K21" s="106">
        <f t="shared" ca="1" si="0"/>
        <v>155349.36185023058</v>
      </c>
      <c r="L21" s="106">
        <f t="shared" ca="1" si="0"/>
        <v>163096.99556073616</v>
      </c>
      <c r="M21" s="106">
        <f t="shared" ca="1" si="0"/>
        <v>171145.98976292141</v>
      </c>
      <c r="N21" s="106"/>
      <c r="O21" s="157" t="s">
        <v>176</v>
      </c>
      <c r="P21" s="160" t="str">
        <f t="shared" si="1"/>
        <v>10625C</v>
      </c>
      <c r="Q21" s="152" t="str">
        <f t="shared" si="2"/>
        <v>Traffic Operations Engineer</v>
      </c>
      <c r="R21" s="158" t="str">
        <f t="shared" si="3"/>
        <v>05</v>
      </c>
      <c r="S21" s="159" cm="1">
        <f t="array" aca="1" ref="S21" ca="1">IF($O21="Y",VLOOKUP($P21,INDIRECT($P$3),S$7,0)*INDIRECT($P$2),VLOOKUP($P21,INDIRECT($P$3),S$7,0))</f>
        <v>134218.40584344836</v>
      </c>
      <c r="T21" s="159" cm="1">
        <f t="array" aca="1" ref="T21" ca="1">IF($O21="Y",VLOOKUP($P21,INDIRECT($P$3),T$7,0)*INDIRECT($P$2),VLOOKUP($P21,INDIRECT($P$3),T$7,0))</f>
        <v>140909.24357951854</v>
      </c>
      <c r="U21" s="159" cm="1">
        <f t="array" aca="1" ref="U21" ca="1">IF($O21="Y",VLOOKUP($P21,INDIRECT($P$3),U$7,0)*INDIRECT($P$2),VLOOKUP($P21,INDIRECT($P$3),U$7,0))</f>
        <v>147953.44342746661</v>
      </c>
      <c r="V21" s="159" cm="1">
        <f t="array" aca="1" ref="V21" ca="1">IF($O21="Y",VLOOKUP($P21,INDIRECT($P$3),V$7,0)*INDIRECT($P$2),VLOOKUP($P21,INDIRECT($P$3),V$7,0))</f>
        <v>155349.36185023058</v>
      </c>
      <c r="W21" s="159" cm="1">
        <f t="array" aca="1" ref="W21" ca="1">IF($O21="Y",VLOOKUP($P21,INDIRECT($P$3),W$7,0)*INDIRECT($P$2),VLOOKUP($P21,INDIRECT($P$3),W$7,0))</f>
        <v>163096.99556073616</v>
      </c>
      <c r="X21" s="159" cm="1">
        <f t="array" aca="1" ref="X21" ca="1">IF($O21="Y",VLOOKUP($P21,INDIRECT($P$3),X$7,0)*INDIRECT($P$2),VLOOKUP($P21,INDIRECT($P$3),X$7,0))</f>
        <v>171145.98976292141</v>
      </c>
      <c r="Y21" s="167" t="str">
        <f t="shared" si="4"/>
        <v>Y</v>
      </c>
      <c r="Z21" s="167" t="str">
        <f t="shared" si="4"/>
        <v>10625C</v>
      </c>
      <c r="AA21" s="168" t="str">
        <f t="shared" si="4"/>
        <v>Traffic Operations Engineer</v>
      </c>
      <c r="AB21" s="167" t="str">
        <f t="shared" si="4"/>
        <v>05</v>
      </c>
      <c r="AC21" s="169">
        <f t="shared" ca="1" si="5"/>
        <v>64.528000000000006</v>
      </c>
      <c r="AD21" s="169">
        <f t="shared" ca="1" si="5"/>
        <v>67.745000000000005</v>
      </c>
      <c r="AE21" s="169">
        <f t="shared" ca="1" si="5"/>
        <v>71.131</v>
      </c>
      <c r="AF21" s="169">
        <f t="shared" ca="1" si="5"/>
        <v>74.686999999999998</v>
      </c>
      <c r="AG21" s="169">
        <f t="shared" ca="1" si="5"/>
        <v>78.412000000000006</v>
      </c>
      <c r="AH21" s="169">
        <f t="shared" ca="1" si="5"/>
        <v>82.281999999999996</v>
      </c>
      <c r="AI21" s="182">
        <f ca="1">AH21/'1-1-2027'!AH21</f>
        <v>1.0300056330975778</v>
      </c>
    </row>
    <row r="22" spans="1:35" s="125" customFormat="1">
      <c r="A22" s="93"/>
      <c r="B22" s="93"/>
      <c r="C22" s="93"/>
      <c r="D22" s="93"/>
      <c r="E22" s="93"/>
      <c r="F22" s="93"/>
      <c r="G22" s="93"/>
      <c r="H22" s="93"/>
      <c r="I22" s="93"/>
      <c r="J22" s="93"/>
      <c r="K22" s="93"/>
      <c r="L22" s="93"/>
      <c r="M22" s="93"/>
      <c r="N22" s="93"/>
      <c r="O22" s="152"/>
      <c r="P22" s="160"/>
      <c r="Q22" s="152"/>
      <c r="R22" s="152"/>
      <c r="S22" s="152"/>
      <c r="T22" s="152"/>
      <c r="U22" s="154"/>
      <c r="V22" s="154"/>
      <c r="W22" s="152"/>
      <c r="X22" s="152"/>
      <c r="Y22" s="170"/>
      <c r="Z22" s="170"/>
      <c r="AA22" s="171"/>
      <c r="AB22" s="170"/>
      <c r="AC22" s="170"/>
      <c r="AD22" s="170"/>
      <c r="AE22" s="170"/>
      <c r="AF22" s="170"/>
      <c r="AG22" s="170"/>
      <c r="AH22" s="170"/>
      <c r="AI22" s="182"/>
    </row>
    <row r="23" spans="1:35" s="125" customFormat="1">
      <c r="A23" s="115" t="s">
        <v>68</v>
      </c>
      <c r="B23" s="112"/>
      <c r="C23" s="93"/>
      <c r="D23" s="93"/>
      <c r="E23" s="93"/>
      <c r="F23" s="93"/>
      <c r="G23" s="93"/>
      <c r="H23" s="93"/>
      <c r="I23" s="93"/>
      <c r="J23" s="93"/>
      <c r="K23" s="93"/>
      <c r="L23" s="93"/>
      <c r="M23" s="93"/>
      <c r="N23" s="93"/>
      <c r="O23" s="152"/>
      <c r="P23" s="160"/>
      <c r="Q23" s="152"/>
      <c r="R23" s="152"/>
      <c r="S23" s="152"/>
      <c r="T23" s="152"/>
      <c r="U23" s="154"/>
      <c r="V23" s="154"/>
      <c r="W23" s="152"/>
      <c r="X23" s="152"/>
      <c r="Y23" s="170"/>
      <c r="Z23" s="170"/>
      <c r="AA23" s="171"/>
      <c r="AB23" s="170"/>
      <c r="AC23" s="170"/>
      <c r="AD23" s="170"/>
      <c r="AE23" s="170"/>
      <c r="AF23" s="170"/>
      <c r="AG23" s="170"/>
      <c r="AH23" s="170"/>
      <c r="AI23" s="182"/>
    </row>
    <row r="24" spans="1:35" s="125" customFormat="1">
      <c r="A24" s="116">
        <f ca="1">S24</f>
        <v>50</v>
      </c>
      <c r="B24" s="112"/>
      <c r="C24" s="93" t="s">
        <v>183</v>
      </c>
      <c r="D24" s="93"/>
      <c r="E24" s="93"/>
      <c r="F24" s="93"/>
      <c r="G24" s="93"/>
      <c r="H24" s="93"/>
      <c r="I24" s="93"/>
      <c r="J24" s="93"/>
      <c r="K24" s="93"/>
      <c r="L24" s="93"/>
      <c r="M24" s="93"/>
      <c r="N24" s="93"/>
      <c r="O24" s="160" t="s">
        <v>184</v>
      </c>
      <c r="P24" s="160" t="s">
        <v>167</v>
      </c>
      <c r="Q24" s="154"/>
      <c r="R24" s="154"/>
      <c r="S24" s="159" cm="1">
        <f t="array" aca="1" ref="S24" ca="1">ROUND(IF($O24="Y",VLOOKUP($P24,INDIRECT($P$3),S$7,0)*INDIRECT($P$2),VLOOKUP($P24,INDIRECT($P$3),S$7,0)),0)</f>
        <v>50</v>
      </c>
      <c r="T24" s="152"/>
      <c r="U24" s="154"/>
      <c r="V24" s="154"/>
      <c r="W24" s="152"/>
      <c r="X24" s="152"/>
      <c r="Y24" s="167" t="str">
        <f t="shared" ref="Y24:Z25" si="6">O24</f>
        <v>N</v>
      </c>
      <c r="Z24" s="167" t="str">
        <f t="shared" si="6"/>
        <v>CENCDY</v>
      </c>
      <c r="AA24" s="168"/>
      <c r="AB24" s="167"/>
      <c r="AC24" s="169">
        <f t="shared" ref="AC24:AC25" ca="1" si="7">ROUND(S24/2080,3)</f>
        <v>2.4E-2</v>
      </c>
      <c r="AD24" s="170"/>
      <c r="AE24" s="170"/>
      <c r="AF24" s="170"/>
      <c r="AG24" s="170"/>
      <c r="AH24" s="170"/>
      <c r="AI24" s="182">
        <f ca="1">AC24/'1-1-2027'!AC24</f>
        <v>1</v>
      </c>
    </row>
    <row r="25" spans="1:35" s="125" customFormat="1">
      <c r="A25" s="116">
        <f ca="1">S25</f>
        <v>60</v>
      </c>
      <c r="B25" s="112"/>
      <c r="C25" s="93" t="s">
        <v>182</v>
      </c>
      <c r="D25" s="93"/>
      <c r="E25" s="93"/>
      <c r="F25" s="93"/>
      <c r="G25" s="93"/>
      <c r="H25" s="93"/>
      <c r="I25" s="93"/>
      <c r="J25" s="93"/>
      <c r="K25" s="93"/>
      <c r="L25" s="93"/>
      <c r="M25" s="93"/>
      <c r="N25" s="93"/>
      <c r="O25" s="160" t="s">
        <v>184</v>
      </c>
      <c r="P25" s="160" t="s">
        <v>168</v>
      </c>
      <c r="Q25" s="154"/>
      <c r="R25" s="154"/>
      <c r="S25" s="159" cm="1">
        <f t="array" aca="1" ref="S25" ca="1">ROUND(IF($O25="Y",VLOOKUP($P25,INDIRECT($P$3),S$7,0)*INDIRECT($P$2),VLOOKUP($P25,INDIRECT($P$3),S$7,0)),0)</f>
        <v>60</v>
      </c>
      <c r="T25" s="152"/>
      <c r="U25" s="154"/>
      <c r="V25" s="154"/>
      <c r="W25" s="152"/>
      <c r="X25" s="152"/>
      <c r="Y25" s="167" t="str">
        <f t="shared" si="6"/>
        <v>N</v>
      </c>
      <c r="Z25" s="167" t="str">
        <f t="shared" si="6"/>
        <v>CENCWE</v>
      </c>
      <c r="AA25" s="168"/>
      <c r="AB25" s="167"/>
      <c r="AC25" s="169">
        <f t="shared" ca="1" si="7"/>
        <v>2.9000000000000001E-2</v>
      </c>
      <c r="AD25" s="170"/>
      <c r="AE25" s="170"/>
      <c r="AF25" s="170"/>
      <c r="AG25" s="170"/>
      <c r="AH25" s="170"/>
      <c r="AI25" s="182">
        <f ca="1">AC25/'1-1-2027'!AC25</f>
        <v>1</v>
      </c>
    </row>
    <row r="26" spans="1:35">
      <c r="O26" s="160"/>
      <c r="AI26" s="182"/>
    </row>
    <row r="27" spans="1:35" s="125" customFormat="1">
      <c r="A27" s="94" t="s">
        <v>70</v>
      </c>
      <c r="B27" s="178"/>
      <c r="C27" s="94"/>
      <c r="D27" s="178"/>
      <c r="E27" s="178"/>
      <c r="F27" s="178"/>
      <c r="G27" s="178"/>
      <c r="H27" s="93"/>
      <c r="I27" s="93"/>
      <c r="J27" s="93"/>
      <c r="K27" s="93"/>
      <c r="L27" s="93"/>
      <c r="M27" s="93"/>
      <c r="N27" s="93"/>
      <c r="O27" s="160"/>
      <c r="P27" s="160"/>
      <c r="Q27" s="152"/>
      <c r="R27" s="152"/>
      <c r="S27" s="152"/>
      <c r="T27" s="152"/>
      <c r="U27" s="154"/>
      <c r="V27" s="154"/>
      <c r="W27" s="152"/>
      <c r="X27" s="152"/>
      <c r="Y27" s="170"/>
      <c r="Z27" s="170"/>
      <c r="AA27" s="171"/>
      <c r="AB27" s="170"/>
      <c r="AC27" s="170"/>
      <c r="AD27" s="170"/>
      <c r="AE27" s="170"/>
      <c r="AF27" s="170"/>
      <c r="AG27" s="170"/>
      <c r="AH27" s="170"/>
      <c r="AI27" s="182"/>
    </row>
    <row r="28" spans="1:35" s="125" customFormat="1">
      <c r="A28" s="118" t="s">
        <v>133</v>
      </c>
      <c r="B28" s="178"/>
      <c r="C28" s="94"/>
      <c r="D28" s="178"/>
      <c r="E28" s="178"/>
      <c r="F28" s="178"/>
      <c r="G28" s="178"/>
      <c r="H28" s="93"/>
      <c r="I28" s="93"/>
      <c r="J28" s="93"/>
      <c r="K28" s="93"/>
      <c r="L28" s="93"/>
      <c r="M28" s="93"/>
      <c r="N28" s="93"/>
      <c r="O28" s="160"/>
      <c r="P28" s="160"/>
      <c r="Q28" s="152"/>
      <c r="R28" s="152"/>
      <c r="S28" s="152"/>
      <c r="T28" s="152"/>
      <c r="U28" s="154"/>
      <c r="V28" s="154"/>
      <c r="W28" s="152"/>
      <c r="X28" s="152"/>
      <c r="Y28" s="170"/>
      <c r="Z28" s="170"/>
      <c r="AA28" s="171"/>
      <c r="AB28" s="170"/>
      <c r="AC28" s="170"/>
      <c r="AD28" s="170"/>
      <c r="AE28" s="170"/>
      <c r="AF28" s="170"/>
      <c r="AG28" s="170"/>
      <c r="AH28" s="170"/>
      <c r="AI28" s="182"/>
    </row>
    <row r="29" spans="1:35" s="125" customFormat="1">
      <c r="A29" s="184">
        <f ca="1">S29</f>
        <v>1063.9324979635073</v>
      </c>
      <c r="B29" s="112"/>
      <c r="C29" s="119" t="s">
        <v>24</v>
      </c>
      <c r="D29" s="178"/>
      <c r="E29" s="178"/>
      <c r="F29" s="178"/>
      <c r="G29" s="178"/>
      <c r="H29" s="93"/>
      <c r="I29" s="93"/>
      <c r="J29" s="93"/>
      <c r="K29" s="93"/>
      <c r="L29" s="93"/>
      <c r="M29" s="93"/>
      <c r="N29" s="93"/>
      <c r="O29" s="160" t="s">
        <v>176</v>
      </c>
      <c r="P29" s="160" t="s">
        <v>178</v>
      </c>
      <c r="Q29" s="159"/>
      <c r="R29" s="159"/>
      <c r="S29" s="159" cm="1">
        <f t="array" aca="1" ref="S29" ca="1">IF($O29="Y",VLOOKUP($P29,INDIRECT($P$3),S$7,0)*INDIRECT($P$2),VLOOKUP($P29,INDIRECT($P$3),S$7,0))</f>
        <v>1063.9324979635073</v>
      </c>
      <c r="T29" s="152"/>
      <c r="U29" s="154"/>
      <c r="V29" s="154"/>
      <c r="W29" s="152"/>
      <c r="X29" s="152"/>
      <c r="Y29" s="167" t="str">
        <f t="shared" ref="Y29:Z32" si="8">O29</f>
        <v>Y</v>
      </c>
      <c r="Z29" s="167" t="str">
        <f t="shared" si="8"/>
        <v>Long10</v>
      </c>
      <c r="AA29" s="168"/>
      <c r="AB29" s="167"/>
      <c r="AC29" s="169">
        <f t="shared" ref="AC29:AC32" ca="1" si="9">ROUND(S29/2080,3)</f>
        <v>0.51200000000000001</v>
      </c>
      <c r="AD29" s="170"/>
      <c r="AE29" s="170"/>
      <c r="AF29" s="170"/>
      <c r="AG29" s="170"/>
      <c r="AH29" s="170"/>
      <c r="AI29" s="182">
        <f ca="1">AC29/'1-1-2027'!AC29</f>
        <v>1.0301810865191148</v>
      </c>
    </row>
    <row r="30" spans="1:35" s="125" customFormat="1">
      <c r="A30" s="184">
        <f ca="1">S30</f>
        <v>1437.3052676802361</v>
      </c>
      <c r="B30" s="112"/>
      <c r="C30" s="119" t="s">
        <v>25</v>
      </c>
      <c r="D30" s="178"/>
      <c r="E30" s="178"/>
      <c r="F30" s="178"/>
      <c r="G30" s="178"/>
      <c r="H30" s="93"/>
      <c r="I30" s="93"/>
      <c r="J30" s="93"/>
      <c r="K30" s="93"/>
      <c r="L30" s="93"/>
      <c r="M30" s="93"/>
      <c r="N30" s="93"/>
      <c r="O30" s="160" t="s">
        <v>176</v>
      </c>
      <c r="P30" s="160" t="s">
        <v>179</v>
      </c>
      <c r="Q30" s="159"/>
      <c r="R30" s="159"/>
      <c r="S30" s="159" cm="1">
        <f t="array" aca="1" ref="S30" ca="1">IF($O30="Y",VLOOKUP($P30,INDIRECT($P$3),S$7,0)*INDIRECT($P$2),VLOOKUP($P30,INDIRECT($P$3),S$7,0))</f>
        <v>1437.3052676802361</v>
      </c>
      <c r="T30" s="152"/>
      <c r="U30" s="154"/>
      <c r="V30" s="154"/>
      <c r="W30" s="152"/>
      <c r="X30" s="152"/>
      <c r="Y30" s="167" t="str">
        <f t="shared" si="8"/>
        <v>Y</v>
      </c>
      <c r="Z30" s="167" t="str">
        <f t="shared" si="8"/>
        <v>Long15</v>
      </c>
      <c r="AA30" s="168"/>
      <c r="AB30" s="167"/>
      <c r="AC30" s="169">
        <f t="shared" ca="1" si="9"/>
        <v>0.69099999999999995</v>
      </c>
      <c r="AD30" s="170"/>
      <c r="AE30" s="170"/>
      <c r="AF30" s="170"/>
      <c r="AG30" s="170"/>
      <c r="AH30" s="170"/>
      <c r="AI30" s="182">
        <f ca="1">AC30/'1-1-2027'!AC30</f>
        <v>1.0298062593144559</v>
      </c>
    </row>
    <row r="31" spans="1:35" s="125" customFormat="1">
      <c r="A31" s="184">
        <f ca="1">S31</f>
        <v>1791.8112700805186</v>
      </c>
      <c r="B31" s="112"/>
      <c r="C31" s="119" t="s">
        <v>26</v>
      </c>
      <c r="D31" s="178"/>
      <c r="E31" s="178"/>
      <c r="F31" s="178"/>
      <c r="G31" s="178"/>
      <c r="H31" s="93"/>
      <c r="I31" s="93"/>
      <c r="J31" s="93"/>
      <c r="K31" s="93"/>
      <c r="L31" s="93"/>
      <c r="M31" s="93"/>
      <c r="N31" s="93"/>
      <c r="O31" s="160" t="s">
        <v>176</v>
      </c>
      <c r="P31" s="160" t="s">
        <v>180</v>
      </c>
      <c r="Q31" s="159"/>
      <c r="R31" s="159"/>
      <c r="S31" s="159" cm="1">
        <f t="array" aca="1" ref="S31" ca="1">IF($O31="Y",VLOOKUP($P31,INDIRECT($P$3),S$7,0)*INDIRECT($P$2),VLOOKUP($P31,INDIRECT($P$3),S$7,0))</f>
        <v>1791.8112700805186</v>
      </c>
      <c r="T31" s="152"/>
      <c r="U31" s="154"/>
      <c r="V31" s="154"/>
      <c r="W31" s="152"/>
      <c r="X31" s="152"/>
      <c r="Y31" s="167" t="str">
        <f t="shared" si="8"/>
        <v>Y</v>
      </c>
      <c r="Z31" s="167" t="str">
        <f t="shared" si="8"/>
        <v>Long20</v>
      </c>
      <c r="AA31" s="168"/>
      <c r="AB31" s="167"/>
      <c r="AC31" s="169">
        <f t="shared" ca="1" si="9"/>
        <v>0.86099999999999999</v>
      </c>
      <c r="AD31" s="170"/>
      <c r="AE31" s="170"/>
      <c r="AF31" s="170"/>
      <c r="AG31" s="170"/>
      <c r="AH31" s="170"/>
      <c r="AI31" s="182">
        <f ca="1">AC31/'1-1-2027'!AC31</f>
        <v>1.0299043062200957</v>
      </c>
    </row>
    <row r="32" spans="1:35" s="125" customFormat="1">
      <c r="A32" s="184">
        <f ca="1">S32</f>
        <v>2082.497134898525</v>
      </c>
      <c r="B32" s="112"/>
      <c r="C32" s="119" t="s">
        <v>27</v>
      </c>
      <c r="D32" s="105"/>
      <c r="E32" s="104"/>
      <c r="F32" s="104"/>
      <c r="G32" s="93"/>
      <c r="H32" s="93"/>
      <c r="I32" s="93"/>
      <c r="J32" s="93"/>
      <c r="K32" s="93"/>
      <c r="L32" s="93"/>
      <c r="M32" s="93"/>
      <c r="N32" s="93"/>
      <c r="O32" s="160" t="s">
        <v>176</v>
      </c>
      <c r="P32" s="160" t="s">
        <v>181</v>
      </c>
      <c r="Q32" s="159"/>
      <c r="R32" s="159"/>
      <c r="S32" s="159" cm="1">
        <f t="array" aca="1" ref="S32" ca="1">IF($O32="Y",VLOOKUP($P32,INDIRECT($P$3),S$7,0)*INDIRECT($P$2),VLOOKUP($P32,INDIRECT($P$3),S$7,0))</f>
        <v>2082.497134898525</v>
      </c>
      <c r="T32" s="152"/>
      <c r="U32" s="154"/>
      <c r="V32" s="154"/>
      <c r="W32" s="152"/>
      <c r="X32" s="152"/>
      <c r="Y32" s="167" t="str">
        <f t="shared" si="8"/>
        <v>Y</v>
      </c>
      <c r="Z32" s="167" t="str">
        <f t="shared" si="8"/>
        <v>Long25</v>
      </c>
      <c r="AA32" s="168"/>
      <c r="AB32" s="167"/>
      <c r="AC32" s="169">
        <f t="shared" ca="1" si="9"/>
        <v>1.0009999999999999</v>
      </c>
      <c r="AD32" s="170"/>
      <c r="AE32" s="170"/>
      <c r="AF32" s="170"/>
      <c r="AG32" s="170"/>
      <c r="AH32" s="170"/>
      <c r="AI32" s="182">
        <f ca="1">AC32/'1-1-2027'!AC32</f>
        <v>1.0298353909465019</v>
      </c>
    </row>
    <row r="33" spans="1:35" s="125" customFormat="1">
      <c r="A33" s="104"/>
      <c r="B33" s="104"/>
      <c r="C33" s="104"/>
      <c r="D33" s="105"/>
      <c r="E33" s="104"/>
      <c r="F33" s="104"/>
      <c r="G33" s="93"/>
      <c r="H33" s="93"/>
      <c r="I33" s="93"/>
      <c r="J33" s="93"/>
      <c r="K33" s="93"/>
      <c r="L33" s="93"/>
      <c r="M33" s="93"/>
      <c r="N33" s="93"/>
      <c r="O33" s="152"/>
      <c r="P33" s="160"/>
      <c r="Q33" s="152"/>
      <c r="R33" s="152"/>
      <c r="S33" s="152"/>
      <c r="T33" s="152"/>
      <c r="U33" s="154"/>
      <c r="V33" s="154"/>
      <c r="W33" s="152"/>
      <c r="X33" s="152"/>
      <c r="Y33" s="170"/>
      <c r="Z33" s="170"/>
      <c r="AA33" s="171"/>
      <c r="AB33" s="170"/>
      <c r="AC33" s="170"/>
      <c r="AD33" s="170"/>
      <c r="AE33" s="170"/>
      <c r="AF33" s="170"/>
      <c r="AG33" s="170"/>
      <c r="AH33" s="170"/>
      <c r="AI33" s="182"/>
    </row>
    <row r="34" spans="1:35" s="125" customFormat="1">
      <c r="A34" s="93" t="s">
        <v>185</v>
      </c>
      <c r="B34" s="112"/>
      <c r="C34" s="93"/>
      <c r="D34" s="93"/>
      <c r="E34" s="93"/>
      <c r="F34" s="93"/>
      <c r="G34" s="93"/>
      <c r="H34" s="93"/>
      <c r="I34" s="93"/>
      <c r="J34" s="93"/>
      <c r="K34" s="93"/>
      <c r="L34" s="93"/>
      <c r="M34" s="93"/>
      <c r="N34" s="93"/>
      <c r="O34" s="152"/>
      <c r="P34" s="160"/>
      <c r="Q34" s="152"/>
      <c r="R34" s="152"/>
      <c r="S34" s="152"/>
      <c r="T34" s="152"/>
      <c r="U34" s="154"/>
      <c r="V34" s="154"/>
      <c r="W34" s="152"/>
      <c r="X34" s="152"/>
      <c r="Y34" s="170"/>
      <c r="Z34" s="170"/>
      <c r="AA34" s="171"/>
      <c r="AB34" s="170"/>
      <c r="AC34" s="170"/>
      <c r="AD34" s="170"/>
      <c r="AE34" s="170"/>
      <c r="AF34" s="170"/>
      <c r="AG34" s="170"/>
      <c r="AH34" s="170"/>
    </row>
    <row r="41" spans="1:35">
      <c r="A41" s="177" t="str">
        <f>A7</f>
        <v>Last updated February 27, 2026</v>
      </c>
      <c r="M41" s="93" t="s">
        <v>201</v>
      </c>
    </row>
  </sheetData>
  <sheetProtection sheet="1" objects="1" scenarios="1"/>
  <mergeCells count="3">
    <mergeCell ref="A2:L2"/>
    <mergeCell ref="H3:I3"/>
    <mergeCell ref="A5:C5"/>
  </mergeCells>
  <pageMargins left="0.25" right="0.25" top="1" bottom="0.5" header="0.5" footer="0.5"/>
  <pageSetup scale="96" orientation="landscape"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A1:C37"/>
  <sheetViews>
    <sheetView topLeftCell="A22" workbookViewId="0">
      <selection activeCell="A38" sqref="A38"/>
    </sheetView>
  </sheetViews>
  <sheetFormatPr defaultRowHeight="12.75"/>
  <cols>
    <col min="1" max="1" width="9.265625" bestFit="1" customWidth="1"/>
    <col min="2" max="2" width="15.3984375" customWidth="1"/>
    <col min="3" max="3" width="138.3984375" bestFit="1" customWidth="1"/>
  </cols>
  <sheetData>
    <row r="1" spans="2:3">
      <c r="B1" t="s">
        <v>136</v>
      </c>
      <c r="C1" s="130" t="s">
        <v>141</v>
      </c>
    </row>
    <row r="2" spans="2:3">
      <c r="C2" s="131" t="s">
        <v>142</v>
      </c>
    </row>
    <row r="3" spans="2:3">
      <c r="C3" s="131" t="s">
        <v>137</v>
      </c>
    </row>
    <row r="4" spans="2:3">
      <c r="C4" s="131" t="s">
        <v>138</v>
      </c>
    </row>
    <row r="5" spans="2:3">
      <c r="C5" s="131" t="s">
        <v>139</v>
      </c>
    </row>
    <row r="6" spans="2:3">
      <c r="C6" s="131" t="s">
        <v>140</v>
      </c>
    </row>
    <row r="7" spans="2:3">
      <c r="B7" s="130" t="s">
        <v>143</v>
      </c>
      <c r="C7" s="135" t="s">
        <v>154</v>
      </c>
    </row>
    <row r="8" spans="2:3">
      <c r="C8" s="134" t="s">
        <v>155</v>
      </c>
    </row>
    <row r="9" spans="2:3">
      <c r="C9" s="133" t="s">
        <v>144</v>
      </c>
    </row>
    <row r="10" spans="2:3">
      <c r="C10" s="133" t="s">
        <v>145</v>
      </c>
    </row>
    <row r="11" spans="2:3">
      <c r="C11" s="133" t="s">
        <v>146</v>
      </c>
    </row>
    <row r="12" spans="2:3">
      <c r="C12" s="133" t="s">
        <v>147</v>
      </c>
    </row>
    <row r="13" spans="2:3">
      <c r="C13" s="131" t="s">
        <v>138</v>
      </c>
    </row>
    <row r="14" spans="2:3">
      <c r="C14" s="131" t="s">
        <v>139</v>
      </c>
    </row>
    <row r="15" spans="2:3">
      <c r="C15" s="131" t="s">
        <v>140</v>
      </c>
    </row>
    <row r="16" spans="2:3">
      <c r="B16" t="s">
        <v>143</v>
      </c>
      <c r="C16" s="132" t="s">
        <v>148</v>
      </c>
    </row>
    <row r="17" spans="2:3">
      <c r="C17" s="131" t="s">
        <v>142</v>
      </c>
    </row>
    <row r="18" spans="2:3">
      <c r="C18" s="134" t="s">
        <v>156</v>
      </c>
    </row>
    <row r="19" spans="2:3">
      <c r="C19" s="131" t="s">
        <v>138</v>
      </c>
    </row>
    <row r="20" spans="2:3">
      <c r="C20" s="131" t="s">
        <v>139</v>
      </c>
    </row>
    <row r="21" spans="2:3">
      <c r="C21" s="131" t="s">
        <v>140</v>
      </c>
    </row>
    <row r="22" spans="2:3">
      <c r="B22" t="s">
        <v>143</v>
      </c>
      <c r="C22" s="132" t="s">
        <v>151</v>
      </c>
    </row>
    <row r="23" spans="2:3">
      <c r="C23" s="131" t="s">
        <v>142</v>
      </c>
    </row>
    <row r="24" spans="2:3">
      <c r="C24" s="131" t="s">
        <v>149</v>
      </c>
    </row>
    <row r="25" spans="2:3">
      <c r="C25" s="131" t="s">
        <v>138</v>
      </c>
    </row>
    <row r="26" spans="2:3">
      <c r="C26" s="131" t="s">
        <v>139</v>
      </c>
    </row>
    <row r="27" spans="2:3">
      <c r="C27" s="131" t="s">
        <v>140</v>
      </c>
    </row>
    <row r="28" spans="2:3">
      <c r="B28" t="s">
        <v>143</v>
      </c>
      <c r="C28" t="s">
        <v>152</v>
      </c>
    </row>
    <row r="29" spans="2:3">
      <c r="C29" s="131" t="s">
        <v>153</v>
      </c>
    </row>
    <row r="30" spans="2:3">
      <c r="C30" s="131" t="s">
        <v>150</v>
      </c>
    </row>
    <row r="31" spans="2:3">
      <c r="C31" s="131" t="s">
        <v>138</v>
      </c>
    </row>
    <row r="32" spans="2:3">
      <c r="C32" s="131" t="s">
        <v>139</v>
      </c>
    </row>
    <row r="33" spans="1:3">
      <c r="C33" s="131" t="s">
        <v>140</v>
      </c>
    </row>
    <row r="34" spans="1:3">
      <c r="A34" s="136">
        <v>43805</v>
      </c>
      <c r="B34" s="130" t="s">
        <v>143</v>
      </c>
      <c r="C34" s="134" t="s">
        <v>158</v>
      </c>
    </row>
    <row r="35" spans="1:3">
      <c r="A35" s="140">
        <v>44033</v>
      </c>
      <c r="B35" s="130" t="s">
        <v>143</v>
      </c>
      <c r="C35" s="134" t="s">
        <v>164</v>
      </c>
    </row>
    <row r="36" spans="1:3">
      <c r="A36" s="136">
        <v>44699</v>
      </c>
      <c r="B36" t="s">
        <v>170</v>
      </c>
      <c r="C36" s="134" t="s">
        <v>171</v>
      </c>
    </row>
    <row r="37" spans="1:3">
      <c r="A37" s="136">
        <v>45880</v>
      </c>
      <c r="B37" t="s">
        <v>170</v>
      </c>
      <c r="C37" s="176" t="s">
        <v>202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63"/>
  <sheetViews>
    <sheetView topLeftCell="C43" zoomScaleNormal="100" workbookViewId="0">
      <selection activeCell="E60" sqref="E60"/>
    </sheetView>
  </sheetViews>
  <sheetFormatPr defaultColWidth="9.265625" defaultRowHeight="12.75"/>
  <cols>
    <col min="1" max="1" width="9" style="19" customWidth="1"/>
    <col min="2" max="2" width="6.265625" style="20" customWidth="1"/>
    <col min="3" max="3" width="5.73046875" style="19" customWidth="1"/>
    <col min="4" max="4" width="28.73046875" style="19" customWidth="1"/>
    <col min="5" max="5" width="6.59765625" style="19" bestFit="1" customWidth="1"/>
    <col min="6" max="6" width="6.265625" style="19" customWidth="1"/>
    <col min="7" max="7" width="2.59765625" style="19" customWidth="1"/>
    <col min="8" max="8" width="10.265625" style="19" bestFit="1" customWidth="1"/>
    <col min="9" max="9" width="8.265625" style="19" bestFit="1" customWidth="1"/>
    <col min="10" max="10" width="8.73046875" style="19" bestFit="1" customWidth="1"/>
    <col min="11" max="11" width="9" style="19" bestFit="1" customWidth="1"/>
    <col min="12" max="12" width="9.265625" style="19" bestFit="1" customWidth="1"/>
    <col min="13" max="13" width="8.73046875" style="19" bestFit="1" customWidth="1"/>
    <col min="14" max="14" width="8.73046875" style="19" customWidth="1"/>
    <col min="15" max="16" width="9.265625" style="19" customWidth="1"/>
    <col min="17" max="16384" width="9.265625" style="19"/>
  </cols>
  <sheetData>
    <row r="1" spans="1:15" ht="20.65">
      <c r="A1" s="185" t="s">
        <v>0</v>
      </c>
      <c r="B1" s="185"/>
      <c r="C1" s="185"/>
      <c r="D1" s="185"/>
      <c r="E1" s="185"/>
      <c r="F1" s="185"/>
      <c r="G1" s="185"/>
      <c r="H1" s="185"/>
      <c r="I1" s="185"/>
      <c r="J1" s="185"/>
      <c r="K1" s="185"/>
      <c r="L1" s="185"/>
      <c r="M1" s="185"/>
    </row>
    <row r="2" spans="1:15" ht="13.15">
      <c r="A2" s="1"/>
      <c r="B2" s="2"/>
      <c r="C2" s="3"/>
      <c r="D2" s="2"/>
      <c r="E2" s="2"/>
      <c r="F2" s="4"/>
      <c r="G2" s="4"/>
      <c r="H2" s="4"/>
      <c r="I2" s="4"/>
      <c r="J2" s="4"/>
      <c r="K2" s="4"/>
      <c r="L2" s="4"/>
      <c r="M2" s="4"/>
    </row>
    <row r="3" spans="1:15" ht="13.15">
      <c r="A3" s="1" t="s">
        <v>1</v>
      </c>
      <c r="B3" s="4"/>
      <c r="C3" s="1"/>
      <c r="D3" s="4"/>
      <c r="E3" s="4"/>
      <c r="F3" s="4"/>
      <c r="G3" s="4"/>
      <c r="H3" s="4"/>
      <c r="I3" s="4"/>
      <c r="J3" s="4"/>
      <c r="K3" s="4"/>
      <c r="L3" s="4"/>
      <c r="M3" s="4"/>
    </row>
    <row r="4" spans="1:15" ht="13.15">
      <c r="A4" s="5" t="s">
        <v>59</v>
      </c>
      <c r="B4" s="4"/>
      <c r="C4" s="1"/>
      <c r="D4" s="4"/>
      <c r="E4" s="4"/>
      <c r="F4" s="4"/>
      <c r="G4" s="4"/>
      <c r="H4" s="4"/>
      <c r="I4" s="6"/>
      <c r="J4" s="4"/>
      <c r="K4" s="4"/>
      <c r="L4" s="6"/>
      <c r="M4" s="4"/>
    </row>
    <row r="5" spans="1:15" ht="13.15">
      <c r="A5" s="5"/>
      <c r="B5" s="4"/>
      <c r="C5" s="1"/>
      <c r="D5" s="4"/>
      <c r="E5" s="4"/>
      <c r="F5" s="4"/>
      <c r="G5" s="4"/>
      <c r="H5" s="4"/>
      <c r="I5" s="6"/>
      <c r="J5" s="4"/>
      <c r="K5" s="4"/>
      <c r="L5" s="6"/>
      <c r="M5" s="4"/>
    </row>
    <row r="6" spans="1:15" ht="13.15">
      <c r="A6" s="1" t="s">
        <v>69</v>
      </c>
      <c r="B6" s="4"/>
      <c r="C6" s="1"/>
      <c r="D6" s="4"/>
      <c r="E6" s="4"/>
      <c r="F6" s="4"/>
      <c r="G6" s="4"/>
      <c r="H6" s="4"/>
      <c r="I6" s="6"/>
      <c r="J6" s="4"/>
      <c r="K6" s="1"/>
      <c r="L6" s="6"/>
      <c r="M6" s="4"/>
    </row>
    <row r="7" spans="1:15" ht="13.15">
      <c r="A7" s="48" t="s">
        <v>74</v>
      </c>
      <c r="B7" s="4"/>
      <c r="C7" s="1"/>
      <c r="D7" s="4"/>
      <c r="E7" s="4"/>
      <c r="F7" s="4"/>
      <c r="G7" s="4"/>
      <c r="H7" s="4"/>
      <c r="I7" s="6"/>
      <c r="J7" s="4"/>
      <c r="K7" s="4"/>
      <c r="L7" s="6"/>
      <c r="M7" s="4"/>
    </row>
    <row r="8" spans="1:15" ht="13.15">
      <c r="A8" s="48"/>
      <c r="B8" s="4"/>
      <c r="C8" s="1"/>
      <c r="D8" s="4"/>
      <c r="E8" s="4"/>
      <c r="F8" s="4"/>
      <c r="G8" s="4"/>
      <c r="H8" s="4"/>
      <c r="I8" s="6"/>
      <c r="J8" s="4"/>
      <c r="K8" s="4"/>
      <c r="L8" s="6"/>
      <c r="M8" s="4"/>
    </row>
    <row r="9" spans="1:15" ht="13.15">
      <c r="A9" s="1" t="s">
        <v>70</v>
      </c>
      <c r="B9" s="4"/>
      <c r="C9" s="1"/>
      <c r="D9" s="4"/>
      <c r="E9" s="4"/>
      <c r="F9" s="4"/>
      <c r="G9" s="4"/>
      <c r="H9" s="4"/>
      <c r="I9" s="6"/>
      <c r="J9" s="4"/>
      <c r="K9" s="1"/>
      <c r="L9" s="6"/>
      <c r="M9" s="4"/>
    </row>
    <row r="10" spans="1:15" ht="13.15">
      <c r="A10" s="5" t="s">
        <v>75</v>
      </c>
      <c r="B10" s="4"/>
      <c r="C10" s="1"/>
      <c r="D10" s="4"/>
      <c r="E10" s="4"/>
      <c r="F10" s="4"/>
      <c r="G10" s="4"/>
      <c r="H10" s="4"/>
      <c r="I10" s="6"/>
      <c r="J10" s="4"/>
      <c r="K10" s="4"/>
      <c r="L10" s="6"/>
      <c r="M10" s="4"/>
    </row>
    <row r="11" spans="1:15" ht="13.15">
      <c r="A11" s="37">
        <v>508.75560000000002</v>
      </c>
      <c r="B11" s="27" t="s">
        <v>24</v>
      </c>
      <c r="C11" s="1"/>
      <c r="D11" s="4"/>
      <c r="E11" s="4"/>
      <c r="F11" s="4"/>
      <c r="G11" s="4"/>
      <c r="H11" s="4"/>
      <c r="I11" s="6"/>
      <c r="J11" s="4"/>
      <c r="K11" s="4"/>
      <c r="L11" s="6"/>
      <c r="M11" s="4"/>
    </row>
    <row r="12" spans="1:15" ht="13.15">
      <c r="A12" s="37">
        <v>713.71440000000007</v>
      </c>
      <c r="B12" s="27" t="s">
        <v>25</v>
      </c>
      <c r="C12" s="1"/>
      <c r="D12" s="4"/>
      <c r="E12" s="4"/>
      <c r="F12" s="4"/>
      <c r="G12" s="4"/>
      <c r="H12" s="4"/>
      <c r="I12" s="6"/>
      <c r="J12" s="4"/>
      <c r="K12" s="4"/>
      <c r="L12" s="6"/>
      <c r="M12" s="4"/>
    </row>
    <row r="13" spans="1:15" ht="13.15">
      <c r="A13" s="37">
        <v>865.61279999999999</v>
      </c>
      <c r="B13" s="29" t="s">
        <v>26</v>
      </c>
      <c r="C13" s="1"/>
      <c r="D13" s="4"/>
      <c r="E13" s="4"/>
      <c r="F13" s="4"/>
      <c r="G13" s="4"/>
      <c r="H13" s="4"/>
      <c r="I13" s="6"/>
      <c r="J13" s="4"/>
      <c r="K13" s="4"/>
      <c r="L13" s="6"/>
      <c r="M13" s="4"/>
    </row>
    <row r="14" spans="1:15">
      <c r="A14" s="37">
        <v>1020.6324000000001</v>
      </c>
      <c r="B14" s="29" t="s">
        <v>27</v>
      </c>
      <c r="C14" s="33"/>
      <c r="D14" s="32"/>
      <c r="E14" s="33"/>
      <c r="F14" s="33"/>
      <c r="H14" s="37"/>
      <c r="I14" s="37"/>
      <c r="J14" s="37"/>
      <c r="K14" s="37"/>
      <c r="L14" s="37"/>
      <c r="M14" s="37"/>
      <c r="N14" s="37"/>
      <c r="O14" s="38"/>
    </row>
    <row r="15" spans="1:15">
      <c r="A15" s="33"/>
      <c r="B15" s="33"/>
      <c r="C15" s="33"/>
      <c r="D15" s="32"/>
      <c r="E15" s="33"/>
      <c r="F15" s="33"/>
      <c r="H15" s="37"/>
      <c r="I15" s="37"/>
      <c r="J15" s="37"/>
      <c r="K15" s="37"/>
      <c r="L15" s="37"/>
      <c r="M15" s="37"/>
      <c r="N15" s="37"/>
      <c r="O15" s="38"/>
    </row>
    <row r="16" spans="1:15">
      <c r="A16" s="33"/>
      <c r="B16" s="33"/>
      <c r="C16" s="33"/>
      <c r="D16" s="32"/>
      <c r="E16" s="33"/>
      <c r="F16" s="33"/>
      <c r="H16" s="37"/>
      <c r="I16" s="37"/>
      <c r="J16" s="37"/>
      <c r="K16" s="37"/>
      <c r="L16" s="37"/>
      <c r="M16" s="37"/>
      <c r="N16" s="37"/>
      <c r="O16" s="38"/>
    </row>
    <row r="17" spans="1:16" ht="13.15">
      <c r="A17" s="5" t="s">
        <v>60</v>
      </c>
      <c r="B17" s="4"/>
      <c r="C17" s="1"/>
      <c r="D17" s="4"/>
      <c r="E17" s="4"/>
      <c r="F17" s="4"/>
      <c r="G17" s="4"/>
      <c r="H17" s="4"/>
      <c r="I17" s="6"/>
      <c r="J17" s="4"/>
      <c r="K17" s="4"/>
      <c r="L17" s="6"/>
      <c r="M17" s="4"/>
    </row>
    <row r="18" spans="1:16" ht="26.65" thickBot="1">
      <c r="A18" s="34" t="s">
        <v>36</v>
      </c>
      <c r="B18" s="34" t="s">
        <v>37</v>
      </c>
      <c r="C18" s="34" t="s">
        <v>2</v>
      </c>
      <c r="D18" s="34" t="s">
        <v>38</v>
      </c>
      <c r="E18" s="34" t="s">
        <v>39</v>
      </c>
      <c r="F18" s="34" t="s">
        <v>40</v>
      </c>
      <c r="G18" s="35" t="s">
        <v>3</v>
      </c>
      <c r="H18" s="47" t="s">
        <v>66</v>
      </c>
      <c r="I18" s="36" t="s">
        <v>41</v>
      </c>
      <c r="J18" s="36" t="s">
        <v>42</v>
      </c>
      <c r="K18" s="36" t="s">
        <v>43</v>
      </c>
      <c r="L18" s="36" t="s">
        <v>44</v>
      </c>
      <c r="M18" s="36" t="s">
        <v>45</v>
      </c>
      <c r="N18" s="36" t="s">
        <v>46</v>
      </c>
      <c r="O18" s="36" t="s">
        <v>47</v>
      </c>
      <c r="P18" s="36" t="s">
        <v>56</v>
      </c>
    </row>
    <row r="19" spans="1:16" ht="13.15" thickTop="1">
      <c r="A19" s="33" t="s">
        <v>4</v>
      </c>
      <c r="B19" s="33">
        <v>6</v>
      </c>
      <c r="C19" s="33" t="s">
        <v>48</v>
      </c>
      <c r="D19" s="32" t="s">
        <v>5</v>
      </c>
      <c r="E19" s="33">
        <v>650</v>
      </c>
      <c r="F19" s="33">
        <v>14</v>
      </c>
      <c r="G19" s="19" t="s">
        <v>6</v>
      </c>
      <c r="H19" s="37">
        <v>76344.960000000006</v>
      </c>
      <c r="I19" s="37">
        <v>79526</v>
      </c>
      <c r="J19" s="37">
        <v>83516</v>
      </c>
      <c r="K19" s="37">
        <v>87694</v>
      </c>
      <c r="L19" s="37">
        <v>92062</v>
      </c>
      <c r="M19" s="37">
        <v>96669</v>
      </c>
      <c r="N19" s="37">
        <v>101516</v>
      </c>
      <c r="O19" s="37">
        <v>106579</v>
      </c>
      <c r="P19" s="38">
        <v>110754.33890399999</v>
      </c>
    </row>
    <row r="20" spans="1:16">
      <c r="A20" s="33" t="s">
        <v>7</v>
      </c>
      <c r="B20" s="33">
        <v>5</v>
      </c>
      <c r="C20" s="33" t="s">
        <v>48</v>
      </c>
      <c r="D20" s="32" t="s">
        <v>49</v>
      </c>
      <c r="E20" s="33">
        <v>610</v>
      </c>
      <c r="F20" s="33">
        <v>13</v>
      </c>
      <c r="G20" s="19" t="s">
        <v>6</v>
      </c>
      <c r="H20" s="37">
        <v>71020.800960000008</v>
      </c>
      <c r="I20" s="37">
        <v>73980.001000000004</v>
      </c>
      <c r="J20" s="37">
        <v>77705</v>
      </c>
      <c r="K20" s="37">
        <v>81588</v>
      </c>
      <c r="L20" s="37">
        <v>85658.998999999996</v>
      </c>
      <c r="M20" s="37">
        <v>89944.998999999996</v>
      </c>
      <c r="N20" s="37">
        <v>94445</v>
      </c>
      <c r="O20" s="37">
        <v>99159</v>
      </c>
      <c r="P20" s="38">
        <v>103043.652984</v>
      </c>
    </row>
    <row r="21" spans="1:16">
      <c r="A21" s="33" t="s">
        <v>8</v>
      </c>
      <c r="B21" s="33">
        <v>13</v>
      </c>
      <c r="C21" s="33" t="s">
        <v>48</v>
      </c>
      <c r="D21" s="32" t="s">
        <v>50</v>
      </c>
      <c r="E21" s="33">
        <v>395</v>
      </c>
      <c r="F21" s="33">
        <v>8</v>
      </c>
      <c r="G21" s="19" t="s">
        <v>6</v>
      </c>
      <c r="H21" s="37">
        <v>38500.800000000003</v>
      </c>
      <c r="I21" s="37">
        <v>40105</v>
      </c>
      <c r="J21" s="37">
        <v>42953</v>
      </c>
      <c r="K21" s="37">
        <v>45470.999000000003</v>
      </c>
      <c r="L21" s="37">
        <v>48167.999000000003</v>
      </c>
      <c r="M21" s="37">
        <v>51105.999000000003</v>
      </c>
      <c r="N21" s="37">
        <v>53951</v>
      </c>
      <c r="O21" s="37">
        <v>57877.999000000003</v>
      </c>
      <c r="P21" s="38">
        <v>60145.427488824003</v>
      </c>
    </row>
    <row r="22" spans="1:16">
      <c r="A22" s="33" t="s">
        <v>12</v>
      </c>
      <c r="B22" s="33">
        <v>5</v>
      </c>
      <c r="C22" s="33" t="s">
        <v>48</v>
      </c>
      <c r="D22" s="32" t="s">
        <v>51</v>
      </c>
      <c r="E22" s="33">
        <v>600</v>
      </c>
      <c r="F22" s="33">
        <v>13</v>
      </c>
      <c r="G22" s="19" t="s">
        <v>6</v>
      </c>
      <c r="H22" s="37">
        <v>71020.800960000008</v>
      </c>
      <c r="I22" s="37">
        <v>73980.001000000004</v>
      </c>
      <c r="J22" s="37">
        <v>77705</v>
      </c>
      <c r="K22" s="37">
        <v>81588</v>
      </c>
      <c r="L22" s="37">
        <v>85658.998999999996</v>
      </c>
      <c r="M22" s="37">
        <v>89944.998999999996</v>
      </c>
      <c r="N22" s="37">
        <v>94445</v>
      </c>
      <c r="O22" s="37">
        <v>99159</v>
      </c>
      <c r="P22" s="38">
        <v>103043.652984</v>
      </c>
    </row>
    <row r="23" spans="1:16">
      <c r="A23" s="33" t="s">
        <v>13</v>
      </c>
      <c r="B23" s="33">
        <v>1</v>
      </c>
      <c r="C23" s="33" t="s">
        <v>48</v>
      </c>
      <c r="D23" s="32" t="s">
        <v>14</v>
      </c>
      <c r="E23" s="33">
        <v>470</v>
      </c>
      <c r="F23" s="33">
        <v>10</v>
      </c>
      <c r="G23" s="19" t="s">
        <v>6</v>
      </c>
      <c r="H23" s="37">
        <v>54976.320959999997</v>
      </c>
      <c r="I23" s="37">
        <v>57267.000999999997</v>
      </c>
      <c r="J23" s="37">
        <v>60133</v>
      </c>
      <c r="K23" s="37">
        <v>63134.000999999997</v>
      </c>
      <c r="L23" s="37">
        <v>66293.998999999996</v>
      </c>
      <c r="M23" s="37">
        <v>69616</v>
      </c>
      <c r="N23" s="37">
        <v>73098</v>
      </c>
      <c r="O23" s="37">
        <v>76741.001000000004</v>
      </c>
      <c r="P23" s="38">
        <v>79747.406455175995</v>
      </c>
    </row>
    <row r="24" spans="1:16">
      <c r="A24" s="33" t="s">
        <v>9</v>
      </c>
      <c r="B24" s="33">
        <v>4</v>
      </c>
      <c r="C24" s="33" t="s">
        <v>48</v>
      </c>
      <c r="D24" s="32" t="s">
        <v>52</v>
      </c>
      <c r="E24" s="33">
        <v>578</v>
      </c>
      <c r="F24" s="33">
        <v>12</v>
      </c>
      <c r="G24" s="19" t="s">
        <v>6</v>
      </c>
      <c r="H24" s="37">
        <v>67318.080000000002</v>
      </c>
      <c r="I24" s="37">
        <v>70123</v>
      </c>
      <c r="J24" s="37">
        <v>73633.998999999996</v>
      </c>
      <c r="K24" s="37">
        <v>77302</v>
      </c>
      <c r="L24" s="37">
        <v>81160</v>
      </c>
      <c r="M24" s="37">
        <v>85230.998999999996</v>
      </c>
      <c r="N24" s="37">
        <v>89489.998999999996</v>
      </c>
      <c r="O24" s="37">
        <v>93961.998999999996</v>
      </c>
      <c r="P24" s="38">
        <v>97643.054272823982</v>
      </c>
    </row>
    <row r="25" spans="1:16">
      <c r="A25" s="33" t="s">
        <v>10</v>
      </c>
      <c r="B25" s="33">
        <v>1</v>
      </c>
      <c r="C25" s="33" t="s">
        <v>48</v>
      </c>
      <c r="D25" s="32" t="s">
        <v>53</v>
      </c>
      <c r="E25" s="33">
        <v>485</v>
      </c>
      <c r="F25" s="33">
        <v>10</v>
      </c>
      <c r="G25" s="19" t="s">
        <v>6</v>
      </c>
      <c r="H25" s="37">
        <v>54976.320959999997</v>
      </c>
      <c r="I25" s="37">
        <v>57267.000999999997</v>
      </c>
      <c r="J25" s="37">
        <v>60133</v>
      </c>
      <c r="K25" s="37">
        <v>63134.000999999997</v>
      </c>
      <c r="L25" s="37">
        <v>66293.998999999996</v>
      </c>
      <c r="M25" s="37">
        <v>69616</v>
      </c>
      <c r="N25" s="37">
        <v>73098</v>
      </c>
      <c r="O25" s="37">
        <v>76741.001000000004</v>
      </c>
      <c r="P25" s="38">
        <v>79747.406455175995</v>
      </c>
    </row>
    <row r="26" spans="1:16" ht="14.25" customHeight="1">
      <c r="A26" s="33" t="s">
        <v>78</v>
      </c>
      <c r="B26" s="33">
        <v>1</v>
      </c>
      <c r="C26" s="33" t="s">
        <v>48</v>
      </c>
      <c r="D26" s="32" t="s">
        <v>79</v>
      </c>
      <c r="E26" s="33"/>
      <c r="F26" s="33">
        <v>10</v>
      </c>
      <c r="G26" s="19" t="s">
        <v>6</v>
      </c>
      <c r="H26" s="37">
        <v>54976.320959999997</v>
      </c>
      <c r="I26" s="37">
        <v>57267.000999999997</v>
      </c>
      <c r="J26" s="37">
        <v>60133</v>
      </c>
      <c r="K26" s="37">
        <v>63134.000999999997</v>
      </c>
      <c r="L26" s="37">
        <v>66293.998999999996</v>
      </c>
      <c r="M26" s="37">
        <v>69616</v>
      </c>
      <c r="N26" s="37">
        <v>73098</v>
      </c>
      <c r="O26" s="37">
        <v>76741.001000000004</v>
      </c>
      <c r="P26" s="38">
        <v>79747.406455175995</v>
      </c>
    </row>
    <row r="27" spans="1:16">
      <c r="A27" s="33" t="s">
        <v>11</v>
      </c>
      <c r="B27" s="33">
        <v>2</v>
      </c>
      <c r="C27" s="33" t="s">
        <v>48</v>
      </c>
      <c r="D27" s="32" t="s">
        <v>54</v>
      </c>
      <c r="E27" s="33">
        <v>523</v>
      </c>
      <c r="F27" s="33">
        <v>11</v>
      </c>
      <c r="G27" s="19" t="s">
        <v>6</v>
      </c>
      <c r="H27" s="37">
        <v>61199.039040000003</v>
      </c>
      <c r="I27" s="37">
        <v>63748.999000000003</v>
      </c>
      <c r="J27" s="37">
        <v>66938</v>
      </c>
      <c r="K27" s="37">
        <v>70283.998999999996</v>
      </c>
      <c r="L27" s="37">
        <v>73794.998999999996</v>
      </c>
      <c r="M27" s="37">
        <v>77489.998999999996</v>
      </c>
      <c r="N27" s="37">
        <v>81346.998999999996</v>
      </c>
      <c r="O27" s="37">
        <v>85419</v>
      </c>
      <c r="P27" s="38">
        <v>88765.374743999986</v>
      </c>
    </row>
    <row r="28" spans="1:16">
      <c r="A28" s="33" t="s">
        <v>15</v>
      </c>
      <c r="B28" s="33">
        <v>5</v>
      </c>
      <c r="C28" s="33" t="s">
        <v>48</v>
      </c>
      <c r="D28" s="32" t="s">
        <v>55</v>
      </c>
      <c r="E28" s="33">
        <v>600</v>
      </c>
      <c r="F28" s="33">
        <v>13</v>
      </c>
      <c r="G28" s="19" t="s">
        <v>6</v>
      </c>
      <c r="H28" s="37">
        <v>71020.800960000008</v>
      </c>
      <c r="I28" s="37">
        <v>73980.001000000004</v>
      </c>
      <c r="J28" s="37">
        <v>77705</v>
      </c>
      <c r="K28" s="37">
        <v>81588</v>
      </c>
      <c r="L28" s="37">
        <v>85658.998999999996</v>
      </c>
      <c r="M28" s="37">
        <v>89944.998999999996</v>
      </c>
      <c r="N28" s="37">
        <v>94445</v>
      </c>
      <c r="O28" s="37">
        <v>99159</v>
      </c>
      <c r="P28" s="38">
        <v>103043.652984</v>
      </c>
    </row>
    <row r="29" spans="1:16">
      <c r="A29" s="33" t="s">
        <v>16</v>
      </c>
      <c r="B29" s="33">
        <v>5</v>
      </c>
      <c r="C29" s="33" t="s">
        <v>48</v>
      </c>
      <c r="D29" s="32" t="s">
        <v>17</v>
      </c>
      <c r="E29" s="33">
        <v>625</v>
      </c>
      <c r="F29" s="33">
        <v>13</v>
      </c>
      <c r="G29" s="19" t="s">
        <v>6</v>
      </c>
      <c r="H29" s="37">
        <v>71020.800960000008</v>
      </c>
      <c r="I29" s="37">
        <v>73980.001000000004</v>
      </c>
      <c r="J29" s="37">
        <v>77705</v>
      </c>
      <c r="K29" s="37">
        <v>81588</v>
      </c>
      <c r="L29" s="37">
        <v>85658.998999999996</v>
      </c>
      <c r="M29" s="37">
        <v>89944.998999999996</v>
      </c>
      <c r="N29" s="37">
        <v>94445</v>
      </c>
      <c r="O29" s="37">
        <v>99159</v>
      </c>
      <c r="P29" s="38">
        <v>103043.652984</v>
      </c>
    </row>
    <row r="30" spans="1:16">
      <c r="A30" s="33" t="s">
        <v>18</v>
      </c>
      <c r="B30" s="33">
        <v>5</v>
      </c>
      <c r="C30" s="33" t="s">
        <v>48</v>
      </c>
      <c r="D30" s="32" t="s">
        <v>19</v>
      </c>
      <c r="E30" s="33">
        <v>588</v>
      </c>
      <c r="F30" s="33">
        <v>13</v>
      </c>
      <c r="G30" s="19" t="s">
        <v>6</v>
      </c>
      <c r="H30" s="37">
        <v>71020.800960000008</v>
      </c>
      <c r="I30" s="37">
        <v>73980.001000000004</v>
      </c>
      <c r="J30" s="37">
        <v>77705</v>
      </c>
      <c r="K30" s="37">
        <v>81588</v>
      </c>
      <c r="L30" s="37">
        <v>85658.998999999996</v>
      </c>
      <c r="M30" s="37">
        <v>89944.998999999996</v>
      </c>
      <c r="N30" s="37">
        <v>94445</v>
      </c>
      <c r="O30" s="37">
        <v>99159</v>
      </c>
      <c r="P30" s="38">
        <v>103043.652984</v>
      </c>
    </row>
    <row r="31" spans="1:16">
      <c r="A31" s="33" t="s">
        <v>20</v>
      </c>
      <c r="B31" s="33">
        <v>5</v>
      </c>
      <c r="C31" s="33" t="s">
        <v>48</v>
      </c>
      <c r="D31" s="32" t="s">
        <v>21</v>
      </c>
      <c r="E31" s="33">
        <v>610</v>
      </c>
      <c r="F31" s="33">
        <v>13</v>
      </c>
      <c r="G31" s="19" t="s">
        <v>6</v>
      </c>
      <c r="H31" s="37">
        <v>71020.800960000008</v>
      </c>
      <c r="I31" s="37">
        <v>73980.001000000004</v>
      </c>
      <c r="J31" s="37">
        <v>77705</v>
      </c>
      <c r="K31" s="37">
        <v>81588</v>
      </c>
      <c r="L31" s="37">
        <v>85658.998999999996</v>
      </c>
      <c r="M31" s="37">
        <v>89944.998999999996</v>
      </c>
      <c r="N31" s="37">
        <v>94445</v>
      </c>
      <c r="O31" s="37">
        <v>99159</v>
      </c>
      <c r="P31" s="38">
        <v>103043.652984</v>
      </c>
    </row>
    <row r="32" spans="1:16">
      <c r="A32" s="33"/>
      <c r="B32" s="33"/>
      <c r="C32" s="33"/>
      <c r="D32" s="32"/>
      <c r="E32" s="33"/>
      <c r="F32" s="33"/>
      <c r="H32" s="37"/>
      <c r="I32" s="37"/>
      <c r="J32" s="37"/>
      <c r="K32" s="37"/>
      <c r="L32" s="37"/>
      <c r="M32" s="37"/>
      <c r="N32" s="37"/>
      <c r="O32" s="38"/>
    </row>
    <row r="33" spans="1:16">
      <c r="A33" s="21" t="s">
        <v>71</v>
      </c>
      <c r="G33" s="25"/>
      <c r="H33" s="25"/>
      <c r="I33" s="25"/>
      <c r="J33" s="25"/>
      <c r="K33" s="25"/>
      <c r="L33" s="25"/>
      <c r="M33" s="25"/>
    </row>
    <row r="34" spans="1:16">
      <c r="A34" s="39" t="s">
        <v>76</v>
      </c>
    </row>
    <row r="35" spans="1:16" ht="21" customHeight="1"/>
    <row r="36" spans="1:16" ht="8.25" customHeight="1">
      <c r="A36" s="24"/>
      <c r="B36" s="7"/>
      <c r="C36" s="26"/>
      <c r="D36" s="7"/>
      <c r="E36" s="22"/>
      <c r="F36" s="22"/>
      <c r="G36" s="22"/>
      <c r="H36" s="22"/>
      <c r="I36" s="23"/>
      <c r="J36" s="26"/>
      <c r="K36" s="26"/>
    </row>
    <row r="37" spans="1:16" ht="13.15">
      <c r="A37" s="30" t="s">
        <v>67</v>
      </c>
    </row>
    <row r="38" spans="1:16">
      <c r="A38" s="31" t="s">
        <v>29</v>
      </c>
      <c r="B38" s="7"/>
      <c r="C38" s="26"/>
      <c r="D38" s="26"/>
      <c r="E38" s="26"/>
      <c r="F38" s="26"/>
      <c r="G38" s="26"/>
      <c r="H38" s="26"/>
      <c r="I38" s="26"/>
      <c r="J38" s="26"/>
      <c r="K38" s="26"/>
    </row>
    <row r="39" spans="1:16">
      <c r="A39" s="19" t="s">
        <v>30</v>
      </c>
    </row>
    <row r="40" spans="1:16">
      <c r="A40" s="19" t="s">
        <v>31</v>
      </c>
    </row>
    <row r="42" spans="1:16" ht="13.15">
      <c r="A42" s="30" t="s">
        <v>68</v>
      </c>
    </row>
    <row r="43" spans="1:16">
      <c r="A43" s="19" t="s">
        <v>33</v>
      </c>
    </row>
    <row r="44" spans="1:16">
      <c r="A44" s="26" t="s">
        <v>34</v>
      </c>
    </row>
    <row r="46" spans="1:16" ht="13.15">
      <c r="A46" s="5" t="s">
        <v>63</v>
      </c>
      <c r="B46" s="4"/>
      <c r="C46" s="1"/>
      <c r="D46" s="4"/>
      <c r="E46" s="4"/>
      <c r="F46" s="4"/>
      <c r="G46" s="4"/>
      <c r="H46" s="4"/>
      <c r="I46" s="6"/>
      <c r="J46" s="4"/>
      <c r="K46" s="4"/>
      <c r="L46" s="6"/>
      <c r="M46" s="4"/>
    </row>
    <row r="47" spans="1:16" ht="26.65" thickBot="1">
      <c r="A47" s="34" t="s">
        <v>36</v>
      </c>
      <c r="B47" s="34" t="s">
        <v>37</v>
      </c>
      <c r="C47" s="34" t="s">
        <v>2</v>
      </c>
      <c r="D47" s="34" t="s">
        <v>38</v>
      </c>
      <c r="E47" s="34" t="s">
        <v>39</v>
      </c>
      <c r="F47" s="34" t="s">
        <v>40</v>
      </c>
      <c r="G47" s="35" t="s">
        <v>3</v>
      </c>
      <c r="H47" s="47" t="s">
        <v>66</v>
      </c>
      <c r="I47" s="36" t="s">
        <v>41</v>
      </c>
      <c r="J47" s="36" t="s">
        <v>42</v>
      </c>
      <c r="K47" s="36" t="s">
        <v>43</v>
      </c>
      <c r="L47" s="36" t="s">
        <v>44</v>
      </c>
      <c r="M47" s="36" t="s">
        <v>45</v>
      </c>
      <c r="N47" s="36" t="s">
        <v>46</v>
      </c>
      <c r="O47" s="36" t="s">
        <v>47</v>
      </c>
      <c r="P47" s="45"/>
    </row>
    <row r="48" spans="1:16" ht="13.15" thickTop="1">
      <c r="A48" s="33" t="s">
        <v>4</v>
      </c>
      <c r="B48" s="33">
        <v>6</v>
      </c>
      <c r="C48" s="33" t="s">
        <v>48</v>
      </c>
      <c r="D48" s="32" t="s">
        <v>5</v>
      </c>
      <c r="E48" s="33">
        <v>650</v>
      </c>
      <c r="F48" s="33">
        <v>14</v>
      </c>
      <c r="G48" s="19" t="s">
        <v>6</v>
      </c>
      <c r="H48" s="37">
        <v>80175.360000000001</v>
      </c>
      <c r="I48" s="37">
        <v>83516</v>
      </c>
      <c r="J48" s="37">
        <v>87694</v>
      </c>
      <c r="K48" s="37">
        <v>92062</v>
      </c>
      <c r="L48" s="37">
        <v>96669</v>
      </c>
      <c r="M48" s="37">
        <v>101516</v>
      </c>
      <c r="N48" s="37">
        <v>106579</v>
      </c>
      <c r="O48" s="38">
        <v>110754.33890399999</v>
      </c>
    </row>
    <row r="49" spans="1:15">
      <c r="A49" s="33" t="s">
        <v>7</v>
      </c>
      <c r="B49" s="33">
        <v>5</v>
      </c>
      <c r="C49" s="33" t="s">
        <v>48</v>
      </c>
      <c r="D49" s="32" t="s">
        <v>49</v>
      </c>
      <c r="E49" s="33">
        <v>610</v>
      </c>
      <c r="F49" s="33">
        <v>13</v>
      </c>
      <c r="G49" s="19" t="s">
        <v>6</v>
      </c>
      <c r="H49" s="37">
        <v>74596.800000000003</v>
      </c>
      <c r="I49" s="37">
        <v>77705</v>
      </c>
      <c r="J49" s="37">
        <v>81588</v>
      </c>
      <c r="K49" s="37">
        <v>85658.998999999996</v>
      </c>
      <c r="L49" s="37">
        <v>89944.998999999996</v>
      </c>
      <c r="M49" s="37">
        <v>94445</v>
      </c>
      <c r="N49" s="37">
        <v>99159</v>
      </c>
      <c r="O49" s="38">
        <v>103043.652984</v>
      </c>
    </row>
    <row r="50" spans="1:15">
      <c r="A50" s="33" t="s">
        <v>8</v>
      </c>
      <c r="B50" s="33">
        <v>13</v>
      </c>
      <c r="C50" s="33" t="s">
        <v>48</v>
      </c>
      <c r="D50" s="32" t="s">
        <v>50</v>
      </c>
      <c r="E50" s="33">
        <v>395</v>
      </c>
      <c r="F50" s="33">
        <v>8</v>
      </c>
      <c r="G50" s="19" t="s">
        <v>6</v>
      </c>
      <c r="H50" s="37">
        <v>41234.879999999997</v>
      </c>
      <c r="I50" s="37">
        <v>42953</v>
      </c>
      <c r="J50" s="37">
        <v>45470.999000000003</v>
      </c>
      <c r="K50" s="37">
        <v>48167.999000000003</v>
      </c>
      <c r="L50" s="37">
        <v>51105.999000000003</v>
      </c>
      <c r="M50" s="37">
        <v>53951</v>
      </c>
      <c r="N50" s="37">
        <v>57877.999000000003</v>
      </c>
      <c r="O50" s="38">
        <v>60145.427488824003</v>
      </c>
    </row>
    <row r="51" spans="1:15">
      <c r="A51" s="33" t="s">
        <v>12</v>
      </c>
      <c r="B51" s="33">
        <v>5</v>
      </c>
      <c r="C51" s="33" t="s">
        <v>48</v>
      </c>
      <c r="D51" s="32" t="s">
        <v>51</v>
      </c>
      <c r="E51" s="33">
        <v>600</v>
      </c>
      <c r="F51" s="33">
        <v>13</v>
      </c>
      <c r="G51" s="19" t="s">
        <v>6</v>
      </c>
      <c r="H51" s="37">
        <v>74596.800000000003</v>
      </c>
      <c r="I51" s="37">
        <v>77705</v>
      </c>
      <c r="J51" s="37">
        <v>81588</v>
      </c>
      <c r="K51" s="37">
        <v>85658.998999999996</v>
      </c>
      <c r="L51" s="37">
        <v>89944.998999999996</v>
      </c>
      <c r="M51" s="37">
        <v>94445</v>
      </c>
      <c r="N51" s="37">
        <v>99159</v>
      </c>
      <c r="O51" s="38">
        <v>103043.652984</v>
      </c>
    </row>
    <row r="52" spans="1:15">
      <c r="A52" s="33" t="s">
        <v>13</v>
      </c>
      <c r="B52" s="33">
        <v>1</v>
      </c>
      <c r="C52" s="33" t="s">
        <v>48</v>
      </c>
      <c r="D52" s="32" t="s">
        <v>14</v>
      </c>
      <c r="E52" s="33">
        <v>470</v>
      </c>
      <c r="F52" s="33">
        <v>10</v>
      </c>
      <c r="G52" s="19" t="s">
        <v>6</v>
      </c>
      <c r="H52" s="37">
        <v>57727.68</v>
      </c>
      <c r="I52" s="37">
        <v>60133</v>
      </c>
      <c r="J52" s="37">
        <v>63134.000999999997</v>
      </c>
      <c r="K52" s="37">
        <v>66293.998999999996</v>
      </c>
      <c r="L52" s="37">
        <v>69616</v>
      </c>
      <c r="M52" s="37">
        <v>73098</v>
      </c>
      <c r="N52" s="37">
        <v>76741.001000000004</v>
      </c>
      <c r="O52" s="38">
        <v>79747.406455175995</v>
      </c>
    </row>
    <row r="53" spans="1:15">
      <c r="A53" s="33" t="s">
        <v>9</v>
      </c>
      <c r="B53" s="33">
        <v>4</v>
      </c>
      <c r="C53" s="33" t="s">
        <v>48</v>
      </c>
      <c r="D53" s="32" t="s">
        <v>52</v>
      </c>
      <c r="E53" s="33">
        <v>578</v>
      </c>
      <c r="F53" s="33">
        <v>12</v>
      </c>
      <c r="G53" s="19" t="s">
        <v>6</v>
      </c>
      <c r="H53" s="37">
        <v>70688.639039999995</v>
      </c>
      <c r="I53" s="37">
        <v>73633.998999999996</v>
      </c>
      <c r="J53" s="37">
        <v>77302</v>
      </c>
      <c r="K53" s="37">
        <v>81160</v>
      </c>
      <c r="L53" s="37">
        <v>85230.998999999996</v>
      </c>
      <c r="M53" s="37">
        <v>89489.998999999996</v>
      </c>
      <c r="N53" s="37">
        <v>93961.998999999996</v>
      </c>
      <c r="O53" s="38">
        <v>97643.054272823982</v>
      </c>
    </row>
    <row r="54" spans="1:15">
      <c r="A54" s="33" t="s">
        <v>10</v>
      </c>
      <c r="B54" s="33">
        <v>1</v>
      </c>
      <c r="C54" s="33" t="s">
        <v>48</v>
      </c>
      <c r="D54" s="32" t="s">
        <v>53</v>
      </c>
      <c r="E54" s="33">
        <v>485</v>
      </c>
      <c r="F54" s="33">
        <v>10</v>
      </c>
      <c r="G54" s="19" t="s">
        <v>6</v>
      </c>
      <c r="H54" s="37">
        <v>57727.68</v>
      </c>
      <c r="I54" s="37">
        <v>60133</v>
      </c>
      <c r="J54" s="37">
        <v>63134.000999999997</v>
      </c>
      <c r="K54" s="37">
        <v>66293.998999999996</v>
      </c>
      <c r="L54" s="37">
        <v>69616</v>
      </c>
      <c r="M54" s="37">
        <v>73098</v>
      </c>
      <c r="N54" s="37">
        <v>76741.001000000004</v>
      </c>
      <c r="O54" s="38">
        <v>79747.406455175995</v>
      </c>
    </row>
    <row r="55" spans="1:15" ht="13.5" customHeight="1">
      <c r="A55" s="33" t="s">
        <v>78</v>
      </c>
      <c r="B55" s="33">
        <v>1</v>
      </c>
      <c r="C55" s="33" t="s">
        <v>48</v>
      </c>
      <c r="D55" s="32" t="s">
        <v>77</v>
      </c>
      <c r="E55" s="33"/>
      <c r="F55" s="33">
        <v>10</v>
      </c>
      <c r="G55" s="19" t="s">
        <v>6</v>
      </c>
      <c r="H55" s="37">
        <v>57727.68</v>
      </c>
      <c r="I55" s="37">
        <v>60133</v>
      </c>
      <c r="J55" s="37">
        <v>63134.000999999997</v>
      </c>
      <c r="K55" s="37">
        <v>66293.998999999996</v>
      </c>
      <c r="L55" s="37">
        <v>69616</v>
      </c>
      <c r="M55" s="37">
        <v>73098</v>
      </c>
      <c r="N55" s="37">
        <v>76741.001000000004</v>
      </c>
      <c r="O55" s="38">
        <v>79747.406455175995</v>
      </c>
    </row>
    <row r="56" spans="1:15">
      <c r="A56" s="33" t="s">
        <v>11</v>
      </c>
      <c r="B56" s="33">
        <v>2</v>
      </c>
      <c r="C56" s="33" t="s">
        <v>48</v>
      </c>
      <c r="D56" s="32" t="s">
        <v>54</v>
      </c>
      <c r="E56" s="33">
        <v>523</v>
      </c>
      <c r="F56" s="33">
        <v>11</v>
      </c>
      <c r="G56" s="19" t="s">
        <v>6</v>
      </c>
      <c r="H56" s="37">
        <v>64260.480000000003</v>
      </c>
      <c r="I56" s="37">
        <v>66938</v>
      </c>
      <c r="J56" s="37">
        <v>70283.998999999996</v>
      </c>
      <c r="K56" s="37">
        <v>73794.998999999996</v>
      </c>
      <c r="L56" s="37">
        <v>77489.998999999996</v>
      </c>
      <c r="M56" s="37">
        <v>81346.998999999996</v>
      </c>
      <c r="N56" s="37">
        <v>85419</v>
      </c>
      <c r="O56" s="38">
        <v>88765.374743999986</v>
      </c>
    </row>
    <row r="57" spans="1:15">
      <c r="A57" s="33" t="s">
        <v>15</v>
      </c>
      <c r="B57" s="33">
        <v>5</v>
      </c>
      <c r="C57" s="33" t="s">
        <v>48</v>
      </c>
      <c r="D57" s="32" t="s">
        <v>55</v>
      </c>
      <c r="E57" s="33">
        <v>600</v>
      </c>
      <c r="F57" s="33">
        <v>13</v>
      </c>
      <c r="G57" s="19" t="s">
        <v>6</v>
      </c>
      <c r="H57" s="37">
        <v>74596.800000000003</v>
      </c>
      <c r="I57" s="37">
        <v>77705</v>
      </c>
      <c r="J57" s="37">
        <v>81588</v>
      </c>
      <c r="K57" s="37">
        <v>85658.998999999996</v>
      </c>
      <c r="L57" s="37">
        <v>89944.998999999996</v>
      </c>
      <c r="M57" s="37">
        <v>94445</v>
      </c>
      <c r="N57" s="37">
        <v>99159</v>
      </c>
      <c r="O57" s="38">
        <v>103043.652984</v>
      </c>
    </row>
    <row r="58" spans="1:15">
      <c r="A58" s="33" t="s">
        <v>16</v>
      </c>
      <c r="B58" s="33">
        <v>5</v>
      </c>
      <c r="C58" s="33" t="s">
        <v>48</v>
      </c>
      <c r="D58" s="32" t="s">
        <v>17</v>
      </c>
      <c r="E58" s="33">
        <v>625</v>
      </c>
      <c r="F58" s="33">
        <v>13</v>
      </c>
      <c r="G58" s="19" t="s">
        <v>6</v>
      </c>
      <c r="H58" s="37">
        <v>74596.800000000003</v>
      </c>
      <c r="I58" s="37">
        <v>77705</v>
      </c>
      <c r="J58" s="37">
        <v>81588</v>
      </c>
      <c r="K58" s="37">
        <v>85658.998999999996</v>
      </c>
      <c r="L58" s="37">
        <v>89944.998999999996</v>
      </c>
      <c r="M58" s="37">
        <v>94445</v>
      </c>
      <c r="N58" s="37">
        <v>99159</v>
      </c>
      <c r="O58" s="38">
        <v>103043.652984</v>
      </c>
    </row>
    <row r="59" spans="1:15">
      <c r="A59" s="33" t="s">
        <v>18</v>
      </c>
      <c r="B59" s="33">
        <v>5</v>
      </c>
      <c r="C59" s="33" t="s">
        <v>48</v>
      </c>
      <c r="D59" s="32" t="s">
        <v>19</v>
      </c>
      <c r="E59" s="33">
        <v>588</v>
      </c>
      <c r="F59" s="33">
        <v>13</v>
      </c>
      <c r="G59" s="19" t="s">
        <v>6</v>
      </c>
      <c r="H59" s="37">
        <v>74596.800000000003</v>
      </c>
      <c r="I59" s="37">
        <v>77705</v>
      </c>
      <c r="J59" s="37">
        <v>81588</v>
      </c>
      <c r="K59" s="37">
        <v>85658.998999999996</v>
      </c>
      <c r="L59" s="37">
        <v>89944.998999999996</v>
      </c>
      <c r="M59" s="37">
        <v>94445</v>
      </c>
      <c r="N59" s="37">
        <v>99159</v>
      </c>
      <c r="O59" s="38">
        <v>103043.652984</v>
      </c>
    </row>
    <row r="60" spans="1:15">
      <c r="A60" s="33" t="s">
        <v>20</v>
      </c>
      <c r="B60" s="33">
        <v>5</v>
      </c>
      <c r="C60" s="33" t="s">
        <v>48</v>
      </c>
      <c r="D60" s="32" t="s">
        <v>21</v>
      </c>
      <c r="E60" s="33">
        <v>610</v>
      </c>
      <c r="F60" s="33">
        <v>13</v>
      </c>
      <c r="G60" s="19" t="s">
        <v>6</v>
      </c>
      <c r="H60" s="37">
        <v>74596.800000000003</v>
      </c>
      <c r="I60" s="37">
        <v>77705</v>
      </c>
      <c r="J60" s="37">
        <v>81588</v>
      </c>
      <c r="K60" s="37">
        <v>85658.998999999996</v>
      </c>
      <c r="L60" s="37">
        <v>89944.998999999996</v>
      </c>
      <c r="M60" s="37">
        <v>94445</v>
      </c>
      <c r="N60" s="37">
        <v>99159</v>
      </c>
      <c r="O60" s="38">
        <v>103043.652984</v>
      </c>
    </row>
    <row r="61" spans="1:15">
      <c r="A61" s="33"/>
      <c r="B61" s="33"/>
      <c r="C61" s="33"/>
      <c r="D61" s="32"/>
      <c r="E61" s="33"/>
      <c r="F61" s="33"/>
      <c r="H61" s="37"/>
      <c r="I61" s="37"/>
      <c r="J61" s="37"/>
      <c r="K61" s="37"/>
      <c r="L61" s="37"/>
      <c r="M61" s="37"/>
      <c r="N61" s="37"/>
      <c r="O61" s="38"/>
    </row>
    <row r="62" spans="1:15">
      <c r="A62" s="21" t="s">
        <v>73</v>
      </c>
    </row>
    <row r="63" spans="1:15">
      <c r="A63" s="21" t="s">
        <v>72</v>
      </c>
    </row>
  </sheetData>
  <mergeCells count="1">
    <mergeCell ref="A1:M1"/>
  </mergeCells>
  <phoneticPr fontId="0" type="noConversion"/>
  <pageMargins left="0.25" right="0.25" top="1" bottom="0.5" header="0.5" footer="0.5"/>
  <pageSetup scale="96" orientation="landscape"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N12"/>
  <sheetViews>
    <sheetView workbookViewId="0">
      <selection activeCell="D17" sqref="D17"/>
    </sheetView>
  </sheetViews>
  <sheetFormatPr defaultColWidth="10.265625" defaultRowHeight="12.75"/>
  <cols>
    <col min="1" max="1" width="10.265625" style="51" customWidth="1"/>
    <col min="2" max="2" width="1.73046875" style="51" customWidth="1"/>
    <col min="3" max="3" width="7.265625" style="51" customWidth="1"/>
    <col min="4" max="4" width="25.73046875" style="51" customWidth="1"/>
    <col min="5" max="6" width="5.265625" style="51" customWidth="1"/>
    <col min="7" max="7" width="0.265625" style="51" customWidth="1"/>
    <col min="8" max="11" width="9.265625" style="51" customWidth="1"/>
    <col min="12" max="16384" width="10.265625" style="51"/>
  </cols>
  <sheetData>
    <row r="1" spans="1:14" ht="13.9" thickTop="1" thickBot="1">
      <c r="A1" s="49" t="s">
        <v>80</v>
      </c>
      <c r="B1" s="49" t="s">
        <v>2</v>
      </c>
      <c r="C1" s="49" t="s">
        <v>36</v>
      </c>
      <c r="D1" s="49" t="s">
        <v>38</v>
      </c>
      <c r="E1" s="49" t="s">
        <v>40</v>
      </c>
      <c r="F1" s="49" t="s">
        <v>39</v>
      </c>
      <c r="G1" s="49" t="s">
        <v>81</v>
      </c>
      <c r="H1" s="50" t="s">
        <v>41</v>
      </c>
      <c r="I1" s="50" t="s">
        <v>42</v>
      </c>
      <c r="J1" s="50" t="s">
        <v>43</v>
      </c>
      <c r="K1" s="50" t="s">
        <v>44</v>
      </c>
      <c r="L1" s="50" t="s">
        <v>45</v>
      </c>
      <c r="M1" s="50" t="s">
        <v>46</v>
      </c>
      <c r="N1" s="50" t="s">
        <v>47</v>
      </c>
    </row>
    <row r="2" spans="1:14" ht="13.15" thickTop="1">
      <c r="A2" s="52">
        <v>39447</v>
      </c>
      <c r="B2" s="53" t="s">
        <v>82</v>
      </c>
      <c r="C2" s="53" t="s">
        <v>7</v>
      </c>
      <c r="D2" s="53" t="s">
        <v>49</v>
      </c>
      <c r="E2" s="51">
        <v>13</v>
      </c>
      <c r="F2" s="51">
        <v>610</v>
      </c>
      <c r="G2" s="53" t="s">
        <v>83</v>
      </c>
      <c r="H2" s="50">
        <v>77705</v>
      </c>
      <c r="I2" s="50">
        <v>81588</v>
      </c>
      <c r="J2" s="50">
        <v>85658.998999999996</v>
      </c>
      <c r="K2" s="50">
        <v>89944.998999999996</v>
      </c>
      <c r="L2" s="50">
        <v>94445</v>
      </c>
      <c r="M2" s="50">
        <v>99159</v>
      </c>
      <c r="N2" s="50">
        <v>103044.001</v>
      </c>
    </row>
    <row r="3" spans="1:14">
      <c r="A3" s="52">
        <v>39447</v>
      </c>
      <c r="B3" s="53" t="s">
        <v>82</v>
      </c>
      <c r="C3" s="53" t="s">
        <v>8</v>
      </c>
      <c r="D3" s="53" t="s">
        <v>50</v>
      </c>
      <c r="E3" s="51">
        <v>8</v>
      </c>
      <c r="F3" s="51">
        <v>395</v>
      </c>
      <c r="G3" s="53" t="s">
        <v>83</v>
      </c>
      <c r="H3" s="50">
        <v>42953</v>
      </c>
      <c r="I3" s="50">
        <v>45470.999000000003</v>
      </c>
      <c r="J3" s="50">
        <v>48167.999000000003</v>
      </c>
      <c r="K3" s="50">
        <v>51105.999000000003</v>
      </c>
      <c r="L3" s="50">
        <v>53951</v>
      </c>
      <c r="M3" s="50">
        <v>57877.999000000003</v>
      </c>
      <c r="N3" s="50">
        <v>60144.999000000003</v>
      </c>
    </row>
    <row r="4" spans="1:14">
      <c r="A4" s="52">
        <v>39467</v>
      </c>
      <c r="B4" s="53" t="s">
        <v>82</v>
      </c>
      <c r="C4" s="53" t="s">
        <v>78</v>
      </c>
      <c r="D4" s="53" t="s">
        <v>84</v>
      </c>
      <c r="E4" s="51">
        <v>10</v>
      </c>
      <c r="F4" s="51">
        <v>470</v>
      </c>
      <c r="G4" s="53" t="s">
        <v>83</v>
      </c>
      <c r="H4" s="50">
        <v>60133</v>
      </c>
      <c r="I4" s="50">
        <v>63134.000999999997</v>
      </c>
      <c r="J4" s="50">
        <v>66293.998999999996</v>
      </c>
      <c r="K4" s="50">
        <v>69616</v>
      </c>
      <c r="L4" s="50">
        <v>73098</v>
      </c>
      <c r="M4" s="50">
        <v>76741.001000000004</v>
      </c>
      <c r="N4" s="50">
        <v>79747</v>
      </c>
    </row>
    <row r="5" spans="1:14">
      <c r="A5" s="52">
        <v>39447</v>
      </c>
      <c r="B5" s="53" t="s">
        <v>82</v>
      </c>
      <c r="C5" s="53" t="s">
        <v>12</v>
      </c>
      <c r="D5" s="53" t="s">
        <v>51</v>
      </c>
      <c r="E5" s="51">
        <v>13</v>
      </c>
      <c r="F5" s="51">
        <v>600</v>
      </c>
      <c r="G5" s="53" t="s">
        <v>83</v>
      </c>
      <c r="H5" s="50">
        <v>77705</v>
      </c>
      <c r="I5" s="50">
        <v>81588</v>
      </c>
      <c r="J5" s="50">
        <v>85658.998999999996</v>
      </c>
      <c r="K5" s="50">
        <v>89944.998999999996</v>
      </c>
      <c r="L5" s="50">
        <v>94445</v>
      </c>
      <c r="M5" s="50">
        <v>99159</v>
      </c>
      <c r="N5" s="50">
        <v>103044.001</v>
      </c>
    </row>
    <row r="6" spans="1:14">
      <c r="A6" s="52">
        <v>39467</v>
      </c>
      <c r="B6" s="53" t="s">
        <v>82</v>
      </c>
      <c r="C6" s="53" t="s">
        <v>13</v>
      </c>
      <c r="D6" s="53" t="s">
        <v>14</v>
      </c>
      <c r="E6" s="51">
        <v>10</v>
      </c>
      <c r="F6" s="51">
        <v>470</v>
      </c>
      <c r="G6" s="53" t="s">
        <v>83</v>
      </c>
      <c r="H6" s="50">
        <v>60133</v>
      </c>
      <c r="I6" s="50">
        <v>63134.000999999997</v>
      </c>
      <c r="J6" s="50">
        <v>66293.998999999996</v>
      </c>
      <c r="K6" s="50">
        <v>69616</v>
      </c>
      <c r="L6" s="50">
        <v>73098</v>
      </c>
      <c r="M6" s="50">
        <v>76741.001000000004</v>
      </c>
      <c r="N6" s="50">
        <v>79747</v>
      </c>
    </row>
    <row r="7" spans="1:14">
      <c r="A7" s="52">
        <v>39447</v>
      </c>
      <c r="B7" s="53" t="s">
        <v>82</v>
      </c>
      <c r="C7" s="53" t="s">
        <v>9</v>
      </c>
      <c r="D7" s="53" t="s">
        <v>52</v>
      </c>
      <c r="E7" s="51">
        <v>12</v>
      </c>
      <c r="F7" s="51">
        <v>578</v>
      </c>
      <c r="G7" s="53" t="s">
        <v>83</v>
      </c>
      <c r="H7" s="50">
        <v>73633.998999999996</v>
      </c>
      <c r="I7" s="50">
        <v>77302</v>
      </c>
      <c r="J7" s="50">
        <v>81160</v>
      </c>
      <c r="K7" s="50">
        <v>85230.998999999996</v>
      </c>
      <c r="L7" s="50">
        <v>89489.998999999996</v>
      </c>
      <c r="M7" s="50">
        <v>93961.998999999996</v>
      </c>
      <c r="N7" s="50">
        <v>97643</v>
      </c>
    </row>
    <row r="8" spans="1:14">
      <c r="A8" s="52">
        <v>39467</v>
      </c>
      <c r="B8" s="53" t="s">
        <v>82</v>
      </c>
      <c r="C8" s="53" t="s">
        <v>10</v>
      </c>
      <c r="D8" s="53" t="s">
        <v>53</v>
      </c>
      <c r="E8" s="51">
        <v>10</v>
      </c>
      <c r="F8" s="51">
        <v>485</v>
      </c>
      <c r="G8" s="53" t="s">
        <v>83</v>
      </c>
      <c r="H8" s="50">
        <v>60133</v>
      </c>
      <c r="I8" s="50">
        <v>63134.000999999997</v>
      </c>
      <c r="J8" s="50">
        <v>66293.998999999996</v>
      </c>
      <c r="K8" s="50">
        <v>69616</v>
      </c>
      <c r="L8" s="50">
        <v>73098</v>
      </c>
      <c r="M8" s="50">
        <v>76741.001000000004</v>
      </c>
      <c r="N8" s="50">
        <v>79747</v>
      </c>
    </row>
    <row r="9" spans="1:14">
      <c r="A9" s="52">
        <v>39447</v>
      </c>
      <c r="B9" s="53" t="s">
        <v>82</v>
      </c>
      <c r="C9" s="53" t="s">
        <v>11</v>
      </c>
      <c r="D9" s="53" t="s">
        <v>54</v>
      </c>
      <c r="E9" s="51">
        <v>11</v>
      </c>
      <c r="F9" s="51">
        <v>523</v>
      </c>
      <c r="G9" s="53" t="s">
        <v>83</v>
      </c>
      <c r="H9" s="50">
        <v>66938</v>
      </c>
      <c r="I9" s="50">
        <v>70283.998999999996</v>
      </c>
      <c r="J9" s="50">
        <v>73794.998999999996</v>
      </c>
      <c r="K9" s="50">
        <v>77489.998999999996</v>
      </c>
      <c r="L9" s="50">
        <v>81346.998999999996</v>
      </c>
      <c r="M9" s="50">
        <v>85419</v>
      </c>
      <c r="N9" s="50">
        <v>88765</v>
      </c>
    </row>
    <row r="10" spans="1:14">
      <c r="A10" s="52">
        <v>39447</v>
      </c>
      <c r="B10" s="53" t="s">
        <v>82</v>
      </c>
      <c r="C10" s="53" t="s">
        <v>16</v>
      </c>
      <c r="D10" s="53" t="s">
        <v>17</v>
      </c>
      <c r="E10" s="51">
        <v>13</v>
      </c>
      <c r="F10" s="51">
        <v>625</v>
      </c>
      <c r="G10" s="53" t="s">
        <v>83</v>
      </c>
      <c r="H10" s="50">
        <v>77705</v>
      </c>
      <c r="I10" s="50">
        <v>81588</v>
      </c>
      <c r="J10" s="50">
        <v>85658.998999999996</v>
      </c>
      <c r="K10" s="50">
        <v>89944.998999999996</v>
      </c>
      <c r="L10" s="50">
        <v>94445</v>
      </c>
      <c r="M10" s="50">
        <v>99159</v>
      </c>
      <c r="N10" s="50">
        <v>103044.001</v>
      </c>
    </row>
    <row r="11" spans="1:14">
      <c r="A11" s="52">
        <v>39447</v>
      </c>
      <c r="B11" s="53" t="s">
        <v>82</v>
      </c>
      <c r="C11" s="53" t="s">
        <v>18</v>
      </c>
      <c r="D11" s="53" t="s">
        <v>19</v>
      </c>
      <c r="E11" s="51">
        <v>13</v>
      </c>
      <c r="F11" s="51">
        <v>588</v>
      </c>
      <c r="G11" s="53" t="s">
        <v>83</v>
      </c>
      <c r="H11" s="50">
        <v>77705</v>
      </c>
      <c r="I11" s="50">
        <v>81588</v>
      </c>
      <c r="J11" s="50">
        <v>85658.998999999996</v>
      </c>
      <c r="K11" s="50">
        <v>89944.998999999996</v>
      </c>
      <c r="L11" s="50">
        <v>94445</v>
      </c>
      <c r="M11" s="50">
        <v>99159</v>
      </c>
      <c r="N11" s="50">
        <v>103044.001</v>
      </c>
    </row>
    <row r="12" spans="1:14">
      <c r="A12" s="52">
        <v>39447</v>
      </c>
      <c r="B12" s="53" t="s">
        <v>82</v>
      </c>
      <c r="C12" s="53" t="s">
        <v>20</v>
      </c>
      <c r="D12" s="53" t="s">
        <v>21</v>
      </c>
      <c r="E12" s="51">
        <v>13</v>
      </c>
      <c r="F12" s="51">
        <v>610</v>
      </c>
      <c r="G12" s="53" t="s">
        <v>83</v>
      </c>
      <c r="H12" s="50">
        <v>77705</v>
      </c>
      <c r="I12" s="50">
        <v>81588</v>
      </c>
      <c r="J12" s="50">
        <v>85658.998999999996</v>
      </c>
      <c r="K12" s="50">
        <v>89944.998999999996</v>
      </c>
      <c r="L12" s="50">
        <v>94445</v>
      </c>
      <c r="M12" s="50">
        <v>99159</v>
      </c>
      <c r="N12" s="50">
        <v>103044.001</v>
      </c>
    </row>
  </sheetData>
  <phoneticPr fontId="14" type="noConversion"/>
  <pageMargins left="0.75" right="0.75" top="1" bottom="1" header="0.5" footer="0.5"/>
  <pageSetup orientation="landscape"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P39"/>
  <sheetViews>
    <sheetView topLeftCell="A3" zoomScaleNormal="100" workbookViewId="0">
      <selection activeCell="P32" sqref="P32"/>
    </sheetView>
  </sheetViews>
  <sheetFormatPr defaultColWidth="9.265625" defaultRowHeight="12.75"/>
  <cols>
    <col min="1" max="1" width="9" style="19" customWidth="1"/>
    <col min="2" max="2" width="6.265625" style="20" customWidth="1"/>
    <col min="3" max="3" width="5.73046875" style="19" customWidth="1"/>
    <col min="4" max="4" width="28.73046875" style="19" customWidth="1"/>
    <col min="5" max="5" width="6.59765625" style="19" bestFit="1" customWidth="1"/>
    <col min="6" max="6" width="6.265625" style="19" customWidth="1"/>
    <col min="7" max="7" width="2.59765625" style="19" customWidth="1"/>
    <col min="8" max="8" width="10.265625" style="19" bestFit="1" customWidth="1"/>
    <col min="9" max="9" width="8.265625" style="19" bestFit="1" customWidth="1"/>
    <col min="10" max="10" width="8.73046875" style="19" bestFit="1" customWidth="1"/>
    <col min="11" max="11" width="9" style="19" bestFit="1" customWidth="1"/>
    <col min="12" max="12" width="9.265625" style="19" bestFit="1" customWidth="1"/>
    <col min="13" max="13" width="8.73046875" style="19" bestFit="1" customWidth="1"/>
    <col min="14" max="14" width="8.73046875" style="19" customWidth="1"/>
    <col min="15" max="16" width="9.265625" style="19" customWidth="1"/>
    <col min="17" max="16384" width="9.265625" style="19"/>
  </cols>
  <sheetData>
    <row r="1" spans="1:16" ht="20.65">
      <c r="A1" s="185" t="s">
        <v>0</v>
      </c>
      <c r="B1" s="185"/>
      <c r="C1" s="185"/>
      <c r="D1" s="185"/>
      <c r="E1" s="185"/>
      <c r="F1" s="185"/>
      <c r="G1" s="185"/>
      <c r="H1" s="185"/>
      <c r="I1" s="185"/>
      <c r="J1" s="185"/>
      <c r="K1" s="185"/>
      <c r="L1" s="185"/>
      <c r="M1" s="185"/>
    </row>
    <row r="2" spans="1:16" ht="13.15">
      <c r="A2" s="1"/>
      <c r="B2" s="2"/>
      <c r="C2" s="3"/>
      <c r="D2" s="2"/>
      <c r="E2" s="2"/>
      <c r="F2" s="4"/>
      <c r="G2" s="4"/>
      <c r="H2" s="4"/>
      <c r="I2" s="4"/>
      <c r="J2" s="4"/>
      <c r="K2" s="4"/>
      <c r="L2" s="4"/>
      <c r="M2" s="4"/>
    </row>
    <row r="3" spans="1:16" ht="13.15">
      <c r="A3" s="1" t="s">
        <v>1</v>
      </c>
      <c r="B3" s="4"/>
      <c r="C3" s="1"/>
      <c r="D3" s="4"/>
      <c r="E3" s="4"/>
      <c r="F3" s="4"/>
      <c r="G3" s="4"/>
      <c r="H3" s="4"/>
      <c r="I3" s="4"/>
      <c r="J3" s="4"/>
      <c r="K3" s="4"/>
      <c r="L3" s="4"/>
      <c r="M3" s="4"/>
    </row>
    <row r="4" spans="1:16" ht="13.15">
      <c r="A4" s="5" t="s">
        <v>93</v>
      </c>
      <c r="B4" s="4"/>
      <c r="C4" s="1"/>
      <c r="D4" s="4"/>
      <c r="E4" s="4"/>
      <c r="F4" s="4"/>
      <c r="G4" s="4"/>
      <c r="H4" s="4"/>
      <c r="I4" s="6"/>
      <c r="J4" s="4"/>
      <c r="K4" s="4"/>
      <c r="L4" s="6"/>
      <c r="M4" s="4"/>
    </row>
    <row r="5" spans="1:16" ht="13.15">
      <c r="A5" s="5"/>
      <c r="B5" s="4"/>
      <c r="C5" s="1"/>
      <c r="D5" s="4"/>
      <c r="E5" s="4"/>
      <c r="F5" s="4"/>
      <c r="G5" s="4"/>
      <c r="H5" s="4"/>
      <c r="I5" s="6"/>
      <c r="J5" s="4"/>
      <c r="K5" s="4"/>
      <c r="L5" s="6"/>
      <c r="M5" s="4"/>
    </row>
    <row r="6" spans="1:16" ht="13.15">
      <c r="A6" s="5" t="s">
        <v>94</v>
      </c>
      <c r="B6" s="4"/>
      <c r="C6" s="1"/>
      <c r="D6" s="4"/>
      <c r="E6" s="4"/>
      <c r="F6" s="4"/>
      <c r="G6" s="4"/>
      <c r="H6" s="4"/>
      <c r="I6" s="6"/>
      <c r="J6" s="4"/>
      <c r="K6" s="4"/>
      <c r="L6" s="6"/>
      <c r="M6" s="4"/>
    </row>
    <row r="7" spans="1:16" ht="26.65" thickBot="1">
      <c r="A7" s="34" t="s">
        <v>36</v>
      </c>
      <c r="B7" s="34" t="s">
        <v>37</v>
      </c>
      <c r="C7" s="34" t="s">
        <v>2</v>
      </c>
      <c r="D7" s="34" t="s">
        <v>38</v>
      </c>
      <c r="E7" s="34" t="s">
        <v>39</v>
      </c>
      <c r="F7" s="34" t="s">
        <v>40</v>
      </c>
      <c r="G7" s="35" t="s">
        <v>3</v>
      </c>
      <c r="H7" s="47" t="s">
        <v>66</v>
      </c>
      <c r="I7" s="36" t="s">
        <v>41</v>
      </c>
      <c r="J7" s="36" t="s">
        <v>42</v>
      </c>
      <c r="K7" s="36" t="s">
        <v>43</v>
      </c>
      <c r="L7" s="36" t="s">
        <v>44</v>
      </c>
      <c r="M7" s="36" t="s">
        <v>45</v>
      </c>
      <c r="N7" s="36" t="s">
        <v>46</v>
      </c>
      <c r="O7" s="36" t="s">
        <v>47</v>
      </c>
      <c r="P7" s="36"/>
    </row>
    <row r="8" spans="1:16" ht="13.15" thickTop="1">
      <c r="A8" s="33" t="s">
        <v>7</v>
      </c>
      <c r="B8" s="33">
        <v>5</v>
      </c>
      <c r="C8" s="33" t="s">
        <v>48</v>
      </c>
      <c r="D8" s="32" t="s">
        <v>49</v>
      </c>
      <c r="E8" s="33">
        <v>610</v>
      </c>
      <c r="F8" s="33">
        <v>13</v>
      </c>
      <c r="G8" s="19" t="s">
        <v>6</v>
      </c>
      <c r="H8" s="37">
        <f>'2007 Salary Schedule'!H49*1.02</f>
        <v>76088.736000000004</v>
      </c>
      <c r="I8" s="37">
        <f>'2007 Salary Schedule'!I49*1.02</f>
        <v>79259.100000000006</v>
      </c>
      <c r="J8" s="37">
        <f>'2007 Salary Schedule'!J49*1.02</f>
        <v>83219.759999999995</v>
      </c>
      <c r="K8" s="37">
        <f>'2007 Salary Schedule'!K49*1.02</f>
        <v>87372.178979999997</v>
      </c>
      <c r="L8" s="37">
        <f>'2007 Salary Schedule'!L49*1.02</f>
        <v>91743.898979999998</v>
      </c>
      <c r="M8" s="37">
        <f>'2007 Salary Schedule'!M49*1.02</f>
        <v>96333.900000000009</v>
      </c>
      <c r="N8" s="37">
        <f>'2007 Salary Schedule'!N49*1.02</f>
        <v>101142.18000000001</v>
      </c>
      <c r="O8" s="37">
        <f>'2007 Salary Schedule'!O49*1.025</f>
        <v>105619.74430859998</v>
      </c>
      <c r="P8" s="37"/>
    </row>
    <row r="9" spans="1:16">
      <c r="A9" s="33" t="s">
        <v>8</v>
      </c>
      <c r="B9" s="33">
        <v>13</v>
      </c>
      <c r="C9" s="33" t="s">
        <v>48</v>
      </c>
      <c r="D9" s="32" t="s">
        <v>50</v>
      </c>
      <c r="E9" s="33">
        <v>395</v>
      </c>
      <c r="F9" s="33">
        <v>8</v>
      </c>
      <c r="G9" s="19" t="s">
        <v>6</v>
      </c>
      <c r="H9" s="37">
        <f>'2007 Salary Schedule'!H50*1.02</f>
        <v>42059.577599999997</v>
      </c>
      <c r="I9" s="37">
        <f>'2007 Salary Schedule'!I50*1.02</f>
        <v>43812.06</v>
      </c>
      <c r="J9" s="37">
        <f>'2007 Salary Schedule'!J50*1.02</f>
        <v>46380.418980000002</v>
      </c>
      <c r="K9" s="37">
        <f>'2007 Salary Schedule'!K50*1.02</f>
        <v>49131.358980000005</v>
      </c>
      <c r="L9" s="37">
        <f>'2007 Salary Schedule'!L50*1.02</f>
        <v>52128.118980000007</v>
      </c>
      <c r="M9" s="37">
        <f>'2007 Salary Schedule'!M50*1.02</f>
        <v>55030.020000000004</v>
      </c>
      <c r="N9" s="37">
        <f>'2007 Salary Schedule'!N50*1.02</f>
        <v>59035.558980000002</v>
      </c>
      <c r="O9" s="37">
        <f>'2007 Salary Schedule'!O50*1.025</f>
        <v>61649.063176044598</v>
      </c>
      <c r="P9" s="37"/>
    </row>
    <row r="10" spans="1:16">
      <c r="A10" s="33" t="s">
        <v>12</v>
      </c>
      <c r="B10" s="33">
        <v>5</v>
      </c>
      <c r="C10" s="33" t="s">
        <v>48</v>
      </c>
      <c r="D10" s="32" t="s">
        <v>51</v>
      </c>
      <c r="E10" s="33">
        <v>600</v>
      </c>
      <c r="F10" s="33">
        <v>13</v>
      </c>
      <c r="G10" s="19" t="s">
        <v>6</v>
      </c>
      <c r="H10" s="37">
        <f>'2007 Salary Schedule'!H51*1.02</f>
        <v>76088.736000000004</v>
      </c>
      <c r="I10" s="37">
        <f>'2007 Salary Schedule'!I51*1.02</f>
        <v>79259.100000000006</v>
      </c>
      <c r="J10" s="37">
        <f>'2007 Salary Schedule'!J51*1.02</f>
        <v>83219.759999999995</v>
      </c>
      <c r="K10" s="37">
        <f>'2007 Salary Schedule'!K51*1.02</f>
        <v>87372.178979999997</v>
      </c>
      <c r="L10" s="37">
        <f>'2007 Salary Schedule'!L51*1.02</f>
        <v>91743.898979999998</v>
      </c>
      <c r="M10" s="37">
        <f>'2007 Salary Schedule'!M51*1.02</f>
        <v>96333.900000000009</v>
      </c>
      <c r="N10" s="37">
        <f>'2007 Salary Schedule'!N51*1.02</f>
        <v>101142.18000000001</v>
      </c>
      <c r="O10" s="37">
        <f>'2007 Salary Schedule'!O51*1.025</f>
        <v>105619.74430859998</v>
      </c>
      <c r="P10" s="37"/>
    </row>
    <row r="11" spans="1:16">
      <c r="A11" s="33" t="s">
        <v>13</v>
      </c>
      <c r="B11" s="33">
        <v>1</v>
      </c>
      <c r="C11" s="33" t="s">
        <v>48</v>
      </c>
      <c r="D11" s="32" t="s">
        <v>14</v>
      </c>
      <c r="E11" s="33">
        <v>470</v>
      </c>
      <c r="F11" s="33">
        <v>10</v>
      </c>
      <c r="G11" s="19" t="s">
        <v>6</v>
      </c>
      <c r="H11" s="37">
        <f>'2007 Salary Schedule'!H52*1.02</f>
        <v>58882.2336</v>
      </c>
      <c r="I11" s="37">
        <f>'2007 Salary Schedule'!I52*1.02</f>
        <v>61335.66</v>
      </c>
      <c r="J11" s="37">
        <f>'2007 Salary Schedule'!J52*1.02</f>
        <v>64396.681019999996</v>
      </c>
      <c r="K11" s="37">
        <f>'2007 Salary Schedule'!K52*1.02</f>
        <v>67619.878979999994</v>
      </c>
      <c r="L11" s="37">
        <f>'2007 Salary Schedule'!L52*1.02</f>
        <v>71008.320000000007</v>
      </c>
      <c r="M11" s="37">
        <f>'2007 Salary Schedule'!M52*1.02</f>
        <v>74559.960000000006</v>
      </c>
      <c r="N11" s="37">
        <f>'2007 Salary Schedule'!N52*1.02</f>
        <v>78275.821020000003</v>
      </c>
      <c r="O11" s="37">
        <f>'2007 Salary Schedule'!O52*1.025</f>
        <v>81741.091616555394</v>
      </c>
      <c r="P11" s="37"/>
    </row>
    <row r="12" spans="1:16">
      <c r="A12" s="33" t="s">
        <v>9</v>
      </c>
      <c r="B12" s="33">
        <v>4</v>
      </c>
      <c r="C12" s="33" t="s">
        <v>48</v>
      </c>
      <c r="D12" s="32" t="s">
        <v>52</v>
      </c>
      <c r="E12" s="33">
        <v>578</v>
      </c>
      <c r="F12" s="33">
        <v>12</v>
      </c>
      <c r="G12" s="19" t="s">
        <v>6</v>
      </c>
      <c r="H12" s="37">
        <f>'2007 Salary Schedule'!H53*1.02</f>
        <v>72102.4118208</v>
      </c>
      <c r="I12" s="37">
        <f>'2007 Salary Schedule'!I53*1.02</f>
        <v>75106.678979999997</v>
      </c>
      <c r="J12" s="37">
        <f>'2007 Salary Schedule'!J53*1.02</f>
        <v>78848.040000000008</v>
      </c>
      <c r="K12" s="37">
        <f>'2007 Salary Schedule'!K53*1.02</f>
        <v>82783.199999999997</v>
      </c>
      <c r="L12" s="37">
        <f>'2007 Salary Schedule'!L53*1.02</f>
        <v>86935.618979999999</v>
      </c>
      <c r="M12" s="37">
        <f>'2007 Salary Schedule'!M53*1.02</f>
        <v>91279.798979999992</v>
      </c>
      <c r="N12" s="37">
        <f>'2007 Salary Schedule'!N53*1.02</f>
        <v>95841.238979999995</v>
      </c>
      <c r="O12" s="37">
        <f>'2007 Salary Schedule'!O53*1.025</f>
        <v>100084.13062964457</v>
      </c>
      <c r="P12" s="37"/>
    </row>
    <row r="13" spans="1:16">
      <c r="A13" s="33" t="s">
        <v>10</v>
      </c>
      <c r="B13" s="33">
        <v>1</v>
      </c>
      <c r="C13" s="33" t="s">
        <v>48</v>
      </c>
      <c r="D13" s="32" t="s">
        <v>53</v>
      </c>
      <c r="E13" s="33">
        <v>485</v>
      </c>
      <c r="F13" s="33">
        <v>10</v>
      </c>
      <c r="G13" s="19" t="s">
        <v>6</v>
      </c>
      <c r="H13" s="37">
        <f>'2007 Salary Schedule'!H54*1.02</f>
        <v>58882.2336</v>
      </c>
      <c r="I13" s="37">
        <f>'2007 Salary Schedule'!I54*1.02</f>
        <v>61335.66</v>
      </c>
      <c r="J13" s="37">
        <f>'2007 Salary Schedule'!J54*1.02</f>
        <v>64396.681019999996</v>
      </c>
      <c r="K13" s="37">
        <f>'2007 Salary Schedule'!K54*1.02</f>
        <v>67619.878979999994</v>
      </c>
      <c r="L13" s="37">
        <f>'2007 Salary Schedule'!L54*1.02</f>
        <v>71008.320000000007</v>
      </c>
      <c r="M13" s="37">
        <f>'2007 Salary Schedule'!M54*1.02</f>
        <v>74559.960000000006</v>
      </c>
      <c r="N13" s="37">
        <f>'2007 Salary Schedule'!N54*1.02</f>
        <v>78275.821020000003</v>
      </c>
      <c r="O13" s="37">
        <f>'2007 Salary Schedule'!O54*1.025</f>
        <v>81741.091616555394</v>
      </c>
      <c r="P13" s="37"/>
    </row>
    <row r="14" spans="1:16" ht="14.25" customHeight="1">
      <c r="A14" s="33" t="s">
        <v>78</v>
      </c>
      <c r="B14" s="33">
        <v>1</v>
      </c>
      <c r="C14" s="33" t="s">
        <v>48</v>
      </c>
      <c r="D14" s="32" t="s">
        <v>92</v>
      </c>
      <c r="E14" s="33"/>
      <c r="F14" s="33">
        <v>10</v>
      </c>
      <c r="G14" s="19" t="s">
        <v>6</v>
      </c>
      <c r="H14" s="37">
        <f>'2007 Salary Schedule'!H55*1.02</f>
        <v>58882.2336</v>
      </c>
      <c r="I14" s="37">
        <f>'2007 Salary Schedule'!I55*1.02</f>
        <v>61335.66</v>
      </c>
      <c r="J14" s="37">
        <f>'2007 Salary Schedule'!J55*1.02</f>
        <v>64396.681019999996</v>
      </c>
      <c r="K14" s="37">
        <f>'2007 Salary Schedule'!K55*1.02</f>
        <v>67619.878979999994</v>
      </c>
      <c r="L14" s="37">
        <f>'2007 Salary Schedule'!L55*1.02</f>
        <v>71008.320000000007</v>
      </c>
      <c r="M14" s="37">
        <f>'2007 Salary Schedule'!M55*1.02</f>
        <v>74559.960000000006</v>
      </c>
      <c r="N14" s="37">
        <f>'2007 Salary Schedule'!N55*1.02</f>
        <v>78275.821020000003</v>
      </c>
      <c r="O14" s="37">
        <f>'2007 Salary Schedule'!O55*1.025</f>
        <v>81741.091616555394</v>
      </c>
      <c r="P14" s="37"/>
    </row>
    <row r="15" spans="1:16">
      <c r="A15" s="33" t="s">
        <v>11</v>
      </c>
      <c r="B15" s="33">
        <v>2</v>
      </c>
      <c r="C15" s="33" t="s">
        <v>48</v>
      </c>
      <c r="D15" s="32" t="s">
        <v>54</v>
      </c>
      <c r="E15" s="33">
        <v>523</v>
      </c>
      <c r="F15" s="33">
        <v>11</v>
      </c>
      <c r="G15" s="19" t="s">
        <v>6</v>
      </c>
      <c r="H15" s="37">
        <f>'2007 Salary Schedule'!H56*1.02</f>
        <v>65545.689599999998</v>
      </c>
      <c r="I15" s="37">
        <f>'2007 Salary Schedule'!I56*1.02</f>
        <v>68276.759999999995</v>
      </c>
      <c r="J15" s="37">
        <f>'2007 Salary Schedule'!J56*1.02</f>
        <v>71689.678979999997</v>
      </c>
      <c r="K15" s="37">
        <f>'2007 Salary Schedule'!K56*1.02</f>
        <v>75270.898979999998</v>
      </c>
      <c r="L15" s="37">
        <f>'2007 Salary Schedule'!L56*1.02</f>
        <v>79039.798979999992</v>
      </c>
      <c r="M15" s="37">
        <f>'2007 Salary Schedule'!M56*1.02</f>
        <v>82973.938979999992</v>
      </c>
      <c r="N15" s="37">
        <f>'2007 Salary Schedule'!N56*1.02</f>
        <v>87127.38</v>
      </c>
      <c r="O15" s="37">
        <f>'2007 Salary Schedule'!O56*1.025</f>
        <v>90984.509112599975</v>
      </c>
      <c r="P15" s="37"/>
    </row>
    <row r="16" spans="1:16">
      <c r="A16" s="33" t="s">
        <v>16</v>
      </c>
      <c r="B16" s="33">
        <v>5</v>
      </c>
      <c r="C16" s="33" t="s">
        <v>48</v>
      </c>
      <c r="D16" s="32" t="s">
        <v>17</v>
      </c>
      <c r="E16" s="33">
        <v>625</v>
      </c>
      <c r="F16" s="33">
        <v>13</v>
      </c>
      <c r="G16" s="19" t="s">
        <v>6</v>
      </c>
      <c r="H16" s="37">
        <f>'2007 Salary Schedule'!H58*1.02</f>
        <v>76088.736000000004</v>
      </c>
      <c r="I16" s="37">
        <f>'2007 Salary Schedule'!I58*1.02</f>
        <v>79259.100000000006</v>
      </c>
      <c r="J16" s="37">
        <f>'2007 Salary Schedule'!J58*1.02</f>
        <v>83219.759999999995</v>
      </c>
      <c r="K16" s="37">
        <f>'2007 Salary Schedule'!K58*1.02</f>
        <v>87372.178979999997</v>
      </c>
      <c r="L16" s="37">
        <f>'2007 Salary Schedule'!L58*1.02</f>
        <v>91743.898979999998</v>
      </c>
      <c r="M16" s="37">
        <f>'2007 Salary Schedule'!M58*1.02</f>
        <v>96333.900000000009</v>
      </c>
      <c r="N16" s="37">
        <f>'2007 Salary Schedule'!N58*1.02</f>
        <v>101142.18000000001</v>
      </c>
      <c r="O16" s="37">
        <f>'2007 Salary Schedule'!O58*1.025</f>
        <v>105619.74430859998</v>
      </c>
      <c r="P16" s="37"/>
    </row>
    <row r="17" spans="1:16">
      <c r="A17" s="33" t="s">
        <v>18</v>
      </c>
      <c r="B17" s="33">
        <v>5</v>
      </c>
      <c r="C17" s="33" t="s">
        <v>48</v>
      </c>
      <c r="D17" s="32" t="s">
        <v>19</v>
      </c>
      <c r="E17" s="33">
        <v>588</v>
      </c>
      <c r="F17" s="33">
        <v>13</v>
      </c>
      <c r="G17" s="19" t="s">
        <v>6</v>
      </c>
      <c r="H17" s="37">
        <f>'2007 Salary Schedule'!H59*1.02</f>
        <v>76088.736000000004</v>
      </c>
      <c r="I17" s="37">
        <f>'2007 Salary Schedule'!I59*1.02</f>
        <v>79259.100000000006</v>
      </c>
      <c r="J17" s="37">
        <f>'2007 Salary Schedule'!J59*1.02</f>
        <v>83219.759999999995</v>
      </c>
      <c r="K17" s="37">
        <f>'2007 Salary Schedule'!K59*1.02</f>
        <v>87372.178979999997</v>
      </c>
      <c r="L17" s="37">
        <f>'2007 Salary Schedule'!L59*1.02</f>
        <v>91743.898979999998</v>
      </c>
      <c r="M17" s="37">
        <f>'2007 Salary Schedule'!M59*1.02</f>
        <v>96333.900000000009</v>
      </c>
      <c r="N17" s="37">
        <f>'2007 Salary Schedule'!N59*1.02</f>
        <v>101142.18000000001</v>
      </c>
      <c r="O17" s="37">
        <f>'2007 Salary Schedule'!O59*1.025</f>
        <v>105619.74430859998</v>
      </c>
      <c r="P17" s="37"/>
    </row>
    <row r="18" spans="1:16">
      <c r="A18" s="33" t="s">
        <v>20</v>
      </c>
      <c r="B18" s="33">
        <v>5</v>
      </c>
      <c r="C18" s="33" t="s">
        <v>48</v>
      </c>
      <c r="D18" s="32" t="s">
        <v>21</v>
      </c>
      <c r="E18" s="33">
        <v>610</v>
      </c>
      <c r="F18" s="33">
        <v>13</v>
      </c>
      <c r="G18" s="19" t="s">
        <v>6</v>
      </c>
      <c r="H18" s="37">
        <f>'2007 Salary Schedule'!H60*1.02</f>
        <v>76088.736000000004</v>
      </c>
      <c r="I18" s="37">
        <f>'2007 Salary Schedule'!I60*1.02</f>
        <v>79259.100000000006</v>
      </c>
      <c r="J18" s="37">
        <f>'2007 Salary Schedule'!J60*1.02</f>
        <v>83219.759999999995</v>
      </c>
      <c r="K18" s="37">
        <f>'2007 Salary Schedule'!K60*1.02</f>
        <v>87372.178979999997</v>
      </c>
      <c r="L18" s="37">
        <f>'2007 Salary Schedule'!L60*1.02</f>
        <v>91743.898979999998</v>
      </c>
      <c r="M18" s="37">
        <f>'2007 Salary Schedule'!M60*1.02</f>
        <v>96333.900000000009</v>
      </c>
      <c r="N18" s="37">
        <f>'2007 Salary Schedule'!N60*1.02</f>
        <v>101142.18000000001</v>
      </c>
      <c r="O18" s="37">
        <f>'2007 Salary Schedule'!O60*1.025</f>
        <v>105619.74430859998</v>
      </c>
      <c r="P18" s="37"/>
    </row>
    <row r="19" spans="1:16">
      <c r="A19" s="33"/>
      <c r="B19" s="33"/>
      <c r="C19" s="33"/>
      <c r="D19" s="32"/>
      <c r="E19" s="33"/>
      <c r="F19" s="33"/>
      <c r="H19" s="37"/>
      <c r="I19" s="37"/>
      <c r="J19" s="37"/>
      <c r="K19" s="37"/>
      <c r="L19" s="37"/>
      <c r="M19" s="37"/>
      <c r="N19" s="37"/>
      <c r="O19" s="38"/>
    </row>
    <row r="20" spans="1:16">
      <c r="A20" s="21" t="s">
        <v>71</v>
      </c>
      <c r="G20" s="25"/>
      <c r="H20" s="25"/>
      <c r="I20" s="25"/>
      <c r="J20" s="25"/>
      <c r="K20" s="25"/>
      <c r="L20" s="25"/>
      <c r="M20" s="25"/>
    </row>
    <row r="21" spans="1:16">
      <c r="A21" s="39" t="s">
        <v>76</v>
      </c>
    </row>
    <row r="22" spans="1:16" ht="21" customHeight="1"/>
    <row r="23" spans="1:16" ht="8.25" customHeight="1">
      <c r="A23" s="24"/>
      <c r="B23" s="7"/>
      <c r="C23" s="26"/>
      <c r="D23" s="7"/>
      <c r="E23" s="22"/>
      <c r="F23" s="22"/>
      <c r="G23" s="22"/>
      <c r="H23" s="22"/>
      <c r="I23" s="23"/>
      <c r="J23" s="26"/>
      <c r="K23" s="26"/>
    </row>
    <row r="24" spans="1:16" ht="13.15">
      <c r="A24" s="30" t="s">
        <v>67</v>
      </c>
    </row>
    <row r="25" spans="1:16">
      <c r="A25" s="31" t="s">
        <v>29</v>
      </c>
      <c r="B25" s="7"/>
      <c r="C25" s="26"/>
      <c r="D25" s="26"/>
      <c r="E25" s="26"/>
      <c r="F25" s="26"/>
      <c r="G25" s="26"/>
      <c r="H25" s="26"/>
      <c r="I25" s="26"/>
      <c r="J25" s="26"/>
      <c r="K25" s="26"/>
    </row>
    <row r="26" spans="1:16">
      <c r="A26" s="19" t="s">
        <v>30</v>
      </c>
    </row>
    <row r="27" spans="1:16">
      <c r="A27" s="19" t="s">
        <v>31</v>
      </c>
    </row>
    <row r="29" spans="1:16" ht="13.15">
      <c r="A29" s="30" t="s">
        <v>68</v>
      </c>
    </row>
    <row r="30" spans="1:16">
      <c r="A30" s="19" t="s">
        <v>33</v>
      </c>
    </row>
    <row r="31" spans="1:16">
      <c r="A31" s="26" t="s">
        <v>34</v>
      </c>
    </row>
    <row r="33" spans="1:8" ht="13.15">
      <c r="A33" s="1" t="s">
        <v>70</v>
      </c>
      <c r="B33" s="4"/>
      <c r="C33" s="1"/>
      <c r="D33" s="4"/>
      <c r="E33" s="4"/>
      <c r="F33" s="4"/>
      <c r="G33" s="4"/>
      <c r="H33" s="4"/>
    </row>
    <row r="34" spans="1:8" ht="13.15">
      <c r="A34" s="5" t="s">
        <v>75</v>
      </c>
      <c r="B34" s="4"/>
      <c r="C34" s="1"/>
      <c r="D34" s="4"/>
      <c r="E34" s="4"/>
      <c r="F34" s="4"/>
      <c r="G34" s="4"/>
      <c r="H34" s="4"/>
    </row>
    <row r="35" spans="1:8" ht="13.15">
      <c r="A35" s="37">
        <f>'2007 Salary Schedule'!A11*1.02</f>
        <v>518.93071199999997</v>
      </c>
      <c r="B35" s="27" t="s">
        <v>24</v>
      </c>
      <c r="C35" s="1"/>
      <c r="D35" s="4"/>
      <c r="E35" s="4"/>
      <c r="F35" s="4"/>
      <c r="G35" s="4"/>
      <c r="H35" s="4"/>
    </row>
    <row r="36" spans="1:8" ht="13.15">
      <c r="A36" s="37">
        <f>'2007 Salary Schedule'!A12*1.02</f>
        <v>727.98868800000014</v>
      </c>
      <c r="B36" s="27" t="s">
        <v>25</v>
      </c>
      <c r="C36" s="1"/>
      <c r="D36" s="4"/>
      <c r="E36" s="4"/>
      <c r="F36" s="4"/>
      <c r="G36" s="4"/>
      <c r="H36" s="4"/>
    </row>
    <row r="37" spans="1:8" ht="13.15">
      <c r="A37" s="37">
        <f>'2007 Salary Schedule'!A13*1.02</f>
        <v>882.92505600000004</v>
      </c>
      <c r="B37" s="29" t="s">
        <v>26</v>
      </c>
      <c r="C37" s="1"/>
      <c r="D37" s="4"/>
      <c r="E37" s="4"/>
      <c r="F37" s="4"/>
      <c r="G37" s="4"/>
      <c r="H37" s="4"/>
    </row>
    <row r="38" spans="1:8">
      <c r="A38" s="37">
        <f>'2007 Salary Schedule'!A14*1.02</f>
        <v>1041.0450480000002</v>
      </c>
      <c r="B38" s="29" t="s">
        <v>27</v>
      </c>
      <c r="C38" s="33"/>
      <c r="D38" s="32"/>
      <c r="E38" s="33"/>
      <c r="F38" s="33"/>
      <c r="H38" s="37"/>
    </row>
    <row r="39" spans="1:8">
      <c r="A39" s="33"/>
      <c r="B39" s="33"/>
      <c r="C39" s="33"/>
      <c r="D39" s="32"/>
      <c r="E39" s="33"/>
      <c r="F39" s="33"/>
      <c r="H39" s="37"/>
    </row>
  </sheetData>
  <sheetProtection selectLockedCells="1" selectUnlockedCells="1"/>
  <mergeCells count="1">
    <mergeCell ref="A1:M1"/>
  </mergeCells>
  <phoneticPr fontId="0" type="noConversion"/>
  <pageMargins left="0.25" right="0.25" top="1" bottom="0.5" header="0.5" footer="0.5"/>
  <pageSetup scale="96" orientation="landscape"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O38"/>
  <sheetViews>
    <sheetView topLeftCell="A4" zoomScaleNormal="100" workbookViewId="0">
      <selection activeCell="D31" sqref="D31"/>
    </sheetView>
  </sheetViews>
  <sheetFormatPr defaultColWidth="9.265625" defaultRowHeight="12.75"/>
  <cols>
    <col min="1" max="1" width="9" style="54" customWidth="1"/>
    <col min="2" max="2" width="6.265625" style="74" customWidth="1"/>
    <col min="3" max="3" width="5.73046875" style="54" customWidth="1"/>
    <col min="4" max="4" width="28.73046875" style="54" customWidth="1"/>
    <col min="5" max="5" width="6.59765625" style="54" bestFit="1" customWidth="1"/>
    <col min="6" max="6" width="6.265625" style="54" customWidth="1"/>
    <col min="7" max="7" width="2.59765625" style="54" customWidth="1"/>
    <col min="8" max="8" width="10.265625" style="54" bestFit="1" customWidth="1"/>
    <col min="9" max="9" width="8.265625" style="54" bestFit="1" customWidth="1"/>
    <col min="10" max="10" width="8.73046875" style="54" bestFit="1" customWidth="1"/>
    <col min="11" max="11" width="9" style="54" bestFit="1" customWidth="1"/>
    <col min="12" max="12" width="9.265625" style="54" bestFit="1" customWidth="1"/>
    <col min="13" max="13" width="8.73046875" style="54" bestFit="1" customWidth="1"/>
    <col min="14" max="14" width="8.73046875" style="54" customWidth="1"/>
    <col min="15" max="16" width="9.265625" style="54" customWidth="1"/>
    <col min="17" max="16384" width="9.265625" style="54"/>
  </cols>
  <sheetData>
    <row r="1" spans="1:15" ht="20.65">
      <c r="A1" s="186" t="s">
        <v>0</v>
      </c>
      <c r="B1" s="186"/>
      <c r="C1" s="186"/>
      <c r="D1" s="186"/>
      <c r="E1" s="186"/>
      <c r="F1" s="186"/>
      <c r="G1" s="186"/>
      <c r="H1" s="186"/>
      <c r="I1" s="186"/>
      <c r="J1" s="186"/>
      <c r="K1" s="186"/>
      <c r="L1" s="186"/>
      <c r="M1" s="186"/>
    </row>
    <row r="2" spans="1:15" ht="13.15">
      <c r="A2" s="55"/>
      <c r="B2" s="56"/>
      <c r="C2" s="57"/>
      <c r="D2" s="56"/>
      <c r="E2" s="56"/>
      <c r="F2" s="58"/>
      <c r="G2" s="58"/>
      <c r="H2" s="58"/>
      <c r="I2" s="58"/>
      <c r="J2" s="58"/>
      <c r="K2" s="58"/>
      <c r="L2" s="58"/>
      <c r="M2" s="58"/>
    </row>
    <row r="3" spans="1:15" ht="13.15">
      <c r="A3" s="55" t="s">
        <v>1</v>
      </c>
      <c r="B3" s="58"/>
      <c r="C3" s="55"/>
      <c r="D3" s="58"/>
      <c r="E3" s="58"/>
      <c r="F3" s="58"/>
      <c r="G3" s="58"/>
      <c r="H3" s="58"/>
      <c r="I3" s="58"/>
      <c r="J3" s="58"/>
      <c r="K3" s="58"/>
      <c r="L3" s="58"/>
      <c r="M3" s="58"/>
    </row>
    <row r="4" spans="1:15" ht="13.15">
      <c r="A4" s="59" t="s">
        <v>108</v>
      </c>
      <c r="B4" s="58"/>
      <c r="C4" s="55"/>
      <c r="D4" s="58"/>
      <c r="E4" s="58"/>
      <c r="F4" s="58"/>
      <c r="G4" s="58"/>
      <c r="H4" s="58"/>
      <c r="I4" s="60"/>
      <c r="J4" s="58"/>
      <c r="K4" s="58"/>
      <c r="L4" s="60"/>
      <c r="M4" s="58"/>
    </row>
    <row r="5" spans="1:15" ht="13.15">
      <c r="A5" s="55" t="s">
        <v>109</v>
      </c>
      <c r="B5" s="58"/>
      <c r="C5" s="55"/>
      <c r="D5" s="58"/>
      <c r="E5" s="58"/>
      <c r="F5" s="58"/>
      <c r="G5" s="58"/>
      <c r="H5" s="58"/>
      <c r="I5" s="58"/>
      <c r="J5" s="58"/>
      <c r="K5" s="58"/>
      <c r="L5" s="58"/>
      <c r="M5" s="58"/>
    </row>
    <row r="6" spans="1:15" ht="13.15">
      <c r="A6" s="55"/>
      <c r="B6" s="58"/>
      <c r="C6" s="55"/>
      <c r="D6" s="58"/>
      <c r="E6" s="58"/>
      <c r="F6" s="58"/>
      <c r="G6" s="58"/>
      <c r="H6" s="58"/>
      <c r="I6" s="58"/>
      <c r="J6" s="58"/>
      <c r="K6" s="58"/>
      <c r="L6" s="58"/>
      <c r="M6" s="58"/>
    </row>
    <row r="7" spans="1:15" ht="13.15">
      <c r="A7" s="59" t="s">
        <v>95</v>
      </c>
      <c r="B7" s="58"/>
      <c r="C7" s="55"/>
      <c r="D7" s="58"/>
      <c r="E7" s="58"/>
      <c r="F7" s="58"/>
      <c r="G7" s="58"/>
      <c r="H7" s="58"/>
      <c r="I7" s="60"/>
      <c r="J7" s="58"/>
      <c r="K7" s="58"/>
      <c r="L7" s="60"/>
      <c r="M7" s="58"/>
    </row>
    <row r="8" spans="1:15" ht="26.65" thickBot="1">
      <c r="A8" s="61" t="s">
        <v>36</v>
      </c>
      <c r="B8" s="61" t="s">
        <v>37</v>
      </c>
      <c r="C8" s="61" t="s">
        <v>2</v>
      </c>
      <c r="D8" s="61" t="s">
        <v>38</v>
      </c>
      <c r="E8" s="61" t="s">
        <v>39</v>
      </c>
      <c r="F8" s="61" t="s">
        <v>40</v>
      </c>
      <c r="G8" s="62" t="s">
        <v>3</v>
      </c>
      <c r="H8" s="63" t="s">
        <v>41</v>
      </c>
      <c r="I8" s="63" t="s">
        <v>42</v>
      </c>
      <c r="J8" s="63" t="s">
        <v>43</v>
      </c>
      <c r="K8" s="63" t="s">
        <v>44</v>
      </c>
      <c r="L8" s="63" t="s">
        <v>45</v>
      </c>
      <c r="M8" s="63" t="s">
        <v>46</v>
      </c>
      <c r="N8" s="63" t="s">
        <v>47</v>
      </c>
      <c r="O8" s="63"/>
    </row>
    <row r="9" spans="1:15" ht="13.15" thickTop="1">
      <c r="A9" s="64" t="s">
        <v>7</v>
      </c>
      <c r="B9" s="64">
        <v>5</v>
      </c>
      <c r="C9" s="64" t="s">
        <v>48</v>
      </c>
      <c r="D9" s="65" t="s">
        <v>98</v>
      </c>
      <c r="E9" s="64">
        <v>610</v>
      </c>
      <c r="F9" s="64">
        <v>13</v>
      </c>
      <c r="G9" s="54" t="s">
        <v>6</v>
      </c>
      <c r="H9" s="66">
        <f>'Jan 1 &amp; April 1 2008'!I8*1.02</f>
        <v>80844.282000000007</v>
      </c>
      <c r="I9" s="66">
        <f>'Jan 1 &amp; April 1 2008'!J8*1.02</f>
        <v>84884.155199999994</v>
      </c>
      <c r="J9" s="66">
        <f>'Jan 1 &amp; April 1 2008'!K8*1.02</f>
        <v>89119.6225596</v>
      </c>
      <c r="K9" s="66">
        <f>'Jan 1 &amp; April 1 2008'!L8*1.02</f>
        <v>93578.7769596</v>
      </c>
      <c r="L9" s="66">
        <f>'Jan 1 &amp; April 1 2008'!M8*1.02</f>
        <v>98260.578000000009</v>
      </c>
      <c r="M9" s="66">
        <f>'Jan 1 &amp; April 1 2008'!N8*1.02</f>
        <v>103165.02360000001</v>
      </c>
      <c r="N9" s="66">
        <f>'Jan 1 &amp; April 1 2008'!O8*1.025</f>
        <v>108260.23791631497</v>
      </c>
      <c r="O9" s="66"/>
    </row>
    <row r="10" spans="1:15">
      <c r="A10" s="64" t="s">
        <v>8</v>
      </c>
      <c r="B10" s="64">
        <v>13</v>
      </c>
      <c r="C10" s="64" t="s">
        <v>48</v>
      </c>
      <c r="D10" s="65" t="s">
        <v>99</v>
      </c>
      <c r="E10" s="64">
        <v>395</v>
      </c>
      <c r="F10" s="64">
        <v>8</v>
      </c>
      <c r="G10" s="54" t="s">
        <v>6</v>
      </c>
      <c r="H10" s="66">
        <f>'Jan 1 &amp; April 1 2008'!I9*1.02</f>
        <v>44688.301200000002</v>
      </c>
      <c r="I10" s="66">
        <f>'Jan 1 &amp; April 1 2008'!J9*1.02</f>
        <v>47308.027359600004</v>
      </c>
      <c r="J10" s="66">
        <f>'Jan 1 &amp; April 1 2008'!K9*1.02</f>
        <v>50113.986159600005</v>
      </c>
      <c r="K10" s="66">
        <f>'Jan 1 &amp; April 1 2008'!L9*1.02</f>
        <v>53170.681359600007</v>
      </c>
      <c r="L10" s="66">
        <f>'Jan 1 &amp; April 1 2008'!M9*1.02</f>
        <v>56130.620400000007</v>
      </c>
      <c r="M10" s="66">
        <f>'Jan 1 &amp; April 1 2008'!N9*1.02</f>
        <v>60216.270159600004</v>
      </c>
      <c r="N10" s="66">
        <f>'Jan 1 &amp; April 1 2008'!O9*1.025</f>
        <v>63190.289755445709</v>
      </c>
      <c r="O10" s="66"/>
    </row>
    <row r="11" spans="1:15">
      <c r="A11" s="64" t="s">
        <v>12</v>
      </c>
      <c r="B11" s="64">
        <v>5</v>
      </c>
      <c r="C11" s="64" t="s">
        <v>48</v>
      </c>
      <c r="D11" s="65" t="s">
        <v>51</v>
      </c>
      <c r="E11" s="64">
        <v>600</v>
      </c>
      <c r="F11" s="64">
        <v>13</v>
      </c>
      <c r="G11" s="54" t="s">
        <v>6</v>
      </c>
      <c r="H11" s="66">
        <f>'Jan 1 &amp; April 1 2008'!I10*1.02</f>
        <v>80844.282000000007</v>
      </c>
      <c r="I11" s="66">
        <f>'Jan 1 &amp; April 1 2008'!J10*1.02</f>
        <v>84884.155199999994</v>
      </c>
      <c r="J11" s="66">
        <f>'Jan 1 &amp; April 1 2008'!K10*1.02</f>
        <v>89119.6225596</v>
      </c>
      <c r="K11" s="66">
        <f>'Jan 1 &amp; April 1 2008'!L10*1.02</f>
        <v>93578.7769596</v>
      </c>
      <c r="L11" s="66">
        <f>'Jan 1 &amp; April 1 2008'!M10*1.02</f>
        <v>98260.578000000009</v>
      </c>
      <c r="M11" s="66">
        <f>'Jan 1 &amp; April 1 2008'!N10*1.02</f>
        <v>103165.02360000001</v>
      </c>
      <c r="N11" s="66">
        <f>'Jan 1 &amp; April 1 2008'!O10*1.025</f>
        <v>108260.23791631497</v>
      </c>
      <c r="O11" s="66"/>
    </row>
    <row r="12" spans="1:15">
      <c r="A12" s="64" t="s">
        <v>13</v>
      </c>
      <c r="B12" s="64">
        <v>1</v>
      </c>
      <c r="C12" s="64" t="s">
        <v>48</v>
      </c>
      <c r="D12" s="65" t="s">
        <v>100</v>
      </c>
      <c r="E12" s="64">
        <v>470</v>
      </c>
      <c r="F12" s="64">
        <v>10</v>
      </c>
      <c r="G12" s="54" t="s">
        <v>6</v>
      </c>
      <c r="H12" s="66">
        <f>'Jan 1 &amp; April 1 2008'!I11*1.02</f>
        <v>62562.373200000002</v>
      </c>
      <c r="I12" s="66">
        <f>'Jan 1 &amp; April 1 2008'!J11*1.02</f>
        <v>65684.614640400003</v>
      </c>
      <c r="J12" s="66">
        <f>'Jan 1 &amp; April 1 2008'!K11*1.02</f>
        <v>68972.276559599995</v>
      </c>
      <c r="K12" s="66">
        <f>'Jan 1 &amp; April 1 2008'!L11*1.02</f>
        <v>72428.486400000009</v>
      </c>
      <c r="L12" s="66">
        <f>'Jan 1 &amp; April 1 2008'!M11*1.02</f>
        <v>76051.159200000009</v>
      </c>
      <c r="M12" s="66">
        <f>'Jan 1 &amp; April 1 2008'!N11*1.02</f>
        <v>79841.337440400006</v>
      </c>
      <c r="N12" s="66">
        <f>'Jan 1 &amp; April 1 2008'!O11*1.025</f>
        <v>83784.618906969277</v>
      </c>
      <c r="O12" s="66"/>
    </row>
    <row r="13" spans="1:15">
      <c r="A13" s="64" t="s">
        <v>9</v>
      </c>
      <c r="B13" s="64">
        <v>4</v>
      </c>
      <c r="C13" s="64" t="s">
        <v>48</v>
      </c>
      <c r="D13" s="65" t="s">
        <v>101</v>
      </c>
      <c r="E13" s="64">
        <v>578</v>
      </c>
      <c r="F13" s="64">
        <v>12</v>
      </c>
      <c r="G13" s="54" t="s">
        <v>6</v>
      </c>
      <c r="H13" s="66">
        <f>'Jan 1 &amp; April 1 2008'!I12*1.02</f>
        <v>76608.812559600003</v>
      </c>
      <c r="I13" s="66">
        <f>'Jan 1 &amp; April 1 2008'!J12*1.02</f>
        <v>80425.000800000009</v>
      </c>
      <c r="J13" s="66">
        <f>'Jan 1 &amp; April 1 2008'!K12*1.02</f>
        <v>84438.864000000001</v>
      </c>
      <c r="K13" s="66">
        <f>'Jan 1 &amp; April 1 2008'!L12*1.02</f>
        <v>88674.331359600008</v>
      </c>
      <c r="L13" s="66">
        <f>'Jan 1 &amp; April 1 2008'!M12*1.02</f>
        <v>93105.394959599987</v>
      </c>
      <c r="M13" s="66">
        <f>'Jan 1 &amp; April 1 2008'!N12*1.02</f>
        <v>97758.063759600002</v>
      </c>
      <c r="N13" s="66">
        <f>'Jan 1 &amp; April 1 2008'!O12*1.025</f>
        <v>102586.23389538568</v>
      </c>
      <c r="O13" s="66"/>
    </row>
    <row r="14" spans="1:15">
      <c r="A14" s="64" t="s">
        <v>10</v>
      </c>
      <c r="B14" s="64">
        <v>1</v>
      </c>
      <c r="C14" s="64" t="s">
        <v>48</v>
      </c>
      <c r="D14" s="65" t="s">
        <v>102</v>
      </c>
      <c r="E14" s="64">
        <v>485</v>
      </c>
      <c r="F14" s="64">
        <v>10</v>
      </c>
      <c r="G14" s="54" t="s">
        <v>6</v>
      </c>
      <c r="H14" s="66">
        <f>'Jan 1 &amp; April 1 2008'!I13*1.02</f>
        <v>62562.373200000002</v>
      </c>
      <c r="I14" s="66">
        <f>'Jan 1 &amp; April 1 2008'!J13*1.02</f>
        <v>65684.614640400003</v>
      </c>
      <c r="J14" s="66">
        <f>'Jan 1 &amp; April 1 2008'!K13*1.02</f>
        <v>68972.276559599995</v>
      </c>
      <c r="K14" s="66">
        <f>'Jan 1 &amp; April 1 2008'!L13*1.02</f>
        <v>72428.486400000009</v>
      </c>
      <c r="L14" s="66">
        <f>'Jan 1 &amp; April 1 2008'!M13*1.02</f>
        <v>76051.159200000009</v>
      </c>
      <c r="M14" s="66">
        <f>'Jan 1 &amp; April 1 2008'!N13*1.02</f>
        <v>79841.337440400006</v>
      </c>
      <c r="N14" s="66">
        <f>'Jan 1 &amp; April 1 2008'!O13*1.025</f>
        <v>83784.618906969277</v>
      </c>
      <c r="O14" s="66"/>
    </row>
    <row r="15" spans="1:15" ht="14.25" customHeight="1">
      <c r="A15" s="64" t="s">
        <v>78</v>
      </c>
      <c r="B15" s="64">
        <v>1</v>
      </c>
      <c r="C15" s="64" t="s">
        <v>48</v>
      </c>
      <c r="D15" s="65" t="s">
        <v>92</v>
      </c>
      <c r="E15" s="64"/>
      <c r="F15" s="64">
        <v>10</v>
      </c>
      <c r="G15" s="54" t="s">
        <v>6</v>
      </c>
      <c r="H15" s="66">
        <f>'Jan 1 &amp; April 1 2008'!I14*1.02</f>
        <v>62562.373200000002</v>
      </c>
      <c r="I15" s="66">
        <f>'Jan 1 &amp; April 1 2008'!J14*1.02</f>
        <v>65684.614640400003</v>
      </c>
      <c r="J15" s="66">
        <f>'Jan 1 &amp; April 1 2008'!K14*1.02</f>
        <v>68972.276559599995</v>
      </c>
      <c r="K15" s="66">
        <f>'Jan 1 &amp; April 1 2008'!L14*1.02</f>
        <v>72428.486400000009</v>
      </c>
      <c r="L15" s="66">
        <f>'Jan 1 &amp; April 1 2008'!M14*1.02</f>
        <v>76051.159200000009</v>
      </c>
      <c r="M15" s="66">
        <f>'Jan 1 &amp; April 1 2008'!N14*1.02</f>
        <v>79841.337440400006</v>
      </c>
      <c r="N15" s="66">
        <f>'Jan 1 &amp; April 1 2008'!O14*1.025</f>
        <v>83784.618906969277</v>
      </c>
      <c r="O15" s="66"/>
    </row>
    <row r="16" spans="1:15">
      <c r="A16" s="64" t="s">
        <v>11</v>
      </c>
      <c r="B16" s="64">
        <v>2</v>
      </c>
      <c r="C16" s="64" t="s">
        <v>48</v>
      </c>
      <c r="D16" s="65" t="s">
        <v>103</v>
      </c>
      <c r="E16" s="64">
        <v>523</v>
      </c>
      <c r="F16" s="64">
        <v>11</v>
      </c>
      <c r="G16" s="54" t="s">
        <v>6</v>
      </c>
      <c r="H16" s="66">
        <f>'Jan 1 &amp; April 1 2008'!I15*1.02</f>
        <v>69642.295199999993</v>
      </c>
      <c r="I16" s="66">
        <f>'Jan 1 &amp; April 1 2008'!J15*1.02</f>
        <v>73123.472559599992</v>
      </c>
      <c r="J16" s="66">
        <f>'Jan 1 &amp; April 1 2008'!K15*1.02</f>
        <v>76776.316959599993</v>
      </c>
      <c r="K16" s="66">
        <f>'Jan 1 &amp; April 1 2008'!L15*1.02</f>
        <v>80620.594959599999</v>
      </c>
      <c r="L16" s="66">
        <f>'Jan 1 &amp; April 1 2008'!M15*1.02</f>
        <v>84633.417759599994</v>
      </c>
      <c r="M16" s="66">
        <f>'Jan 1 &amp; April 1 2008'!N15*1.02</f>
        <v>88869.92760000001</v>
      </c>
      <c r="N16" s="66">
        <f>'Jan 1 &amp; April 1 2008'!O15*1.025</f>
        <v>93259.121840414969</v>
      </c>
      <c r="O16" s="66"/>
    </row>
    <row r="17" spans="1:15">
      <c r="A17" s="64" t="s">
        <v>16</v>
      </c>
      <c r="B17" s="64">
        <v>5</v>
      </c>
      <c r="C17" s="64" t="s">
        <v>48</v>
      </c>
      <c r="D17" s="65" t="s">
        <v>104</v>
      </c>
      <c r="E17" s="64">
        <v>625</v>
      </c>
      <c r="F17" s="64">
        <v>13</v>
      </c>
      <c r="G17" s="54" t="s">
        <v>6</v>
      </c>
      <c r="H17" s="66">
        <f>'Jan 1 &amp; April 1 2008'!I16*1.02</f>
        <v>80844.282000000007</v>
      </c>
      <c r="I17" s="66">
        <f>'Jan 1 &amp; April 1 2008'!J16*1.02</f>
        <v>84884.155199999994</v>
      </c>
      <c r="J17" s="66">
        <f>'Jan 1 &amp; April 1 2008'!K16*1.02</f>
        <v>89119.6225596</v>
      </c>
      <c r="K17" s="66">
        <f>'Jan 1 &amp; April 1 2008'!L16*1.02</f>
        <v>93578.7769596</v>
      </c>
      <c r="L17" s="66">
        <f>'Jan 1 &amp; April 1 2008'!M16*1.02</f>
        <v>98260.578000000009</v>
      </c>
      <c r="M17" s="66">
        <f>'Jan 1 &amp; April 1 2008'!N16*1.02</f>
        <v>103165.02360000001</v>
      </c>
      <c r="N17" s="66">
        <f>'Jan 1 &amp; April 1 2008'!O16*1.025</f>
        <v>108260.23791631497</v>
      </c>
      <c r="O17" s="66"/>
    </row>
    <row r="18" spans="1:15">
      <c r="A18" s="64" t="s">
        <v>18</v>
      </c>
      <c r="B18" s="64">
        <v>5</v>
      </c>
      <c r="C18" s="64" t="s">
        <v>48</v>
      </c>
      <c r="D18" s="65" t="s">
        <v>105</v>
      </c>
      <c r="E18" s="64">
        <v>588</v>
      </c>
      <c r="F18" s="64">
        <v>13</v>
      </c>
      <c r="G18" s="54" t="s">
        <v>6</v>
      </c>
      <c r="H18" s="66">
        <f>'Jan 1 &amp; April 1 2008'!I17*1.02</f>
        <v>80844.282000000007</v>
      </c>
      <c r="I18" s="66">
        <f>'Jan 1 &amp; April 1 2008'!J17*1.02</f>
        <v>84884.155199999994</v>
      </c>
      <c r="J18" s="66">
        <f>'Jan 1 &amp; April 1 2008'!K17*1.02</f>
        <v>89119.6225596</v>
      </c>
      <c r="K18" s="66">
        <f>'Jan 1 &amp; April 1 2008'!L17*1.02</f>
        <v>93578.7769596</v>
      </c>
      <c r="L18" s="66">
        <f>'Jan 1 &amp; April 1 2008'!M17*1.02</f>
        <v>98260.578000000009</v>
      </c>
      <c r="M18" s="66">
        <f>'Jan 1 &amp; April 1 2008'!N17*1.02</f>
        <v>103165.02360000001</v>
      </c>
      <c r="N18" s="66">
        <f>'Jan 1 &amp; April 1 2008'!O17*1.025</f>
        <v>108260.23791631497</v>
      </c>
      <c r="O18" s="66"/>
    </row>
    <row r="19" spans="1:15" s="84" customFormat="1">
      <c r="A19" s="82" t="s">
        <v>20</v>
      </c>
      <c r="B19" s="82">
        <v>5</v>
      </c>
      <c r="C19" s="82" t="s">
        <v>48</v>
      </c>
      <c r="D19" s="83" t="s">
        <v>107</v>
      </c>
      <c r="E19" s="82">
        <v>610</v>
      </c>
      <c r="F19" s="82">
        <v>13</v>
      </c>
      <c r="G19" s="84" t="s">
        <v>6</v>
      </c>
      <c r="H19" s="85">
        <f>'Jan 1 &amp; April 1 2008'!I17*1.02</f>
        <v>80844.282000000007</v>
      </c>
      <c r="I19" s="85">
        <f>'Jan 1 &amp; April 1 2008'!J17*1.02</f>
        <v>84884.155199999994</v>
      </c>
      <c r="J19" s="85">
        <f>'Jan 1 &amp; April 1 2008'!K17*1.02</f>
        <v>89119.6225596</v>
      </c>
      <c r="K19" s="85">
        <f>'Jan 1 &amp; April 1 2008'!L17*1.02</f>
        <v>93578.7769596</v>
      </c>
      <c r="L19" s="85">
        <f>'Jan 1 &amp; April 1 2008'!M17*1.02</f>
        <v>98260.578000000009</v>
      </c>
      <c r="M19" s="85">
        <f>'Jan 1 &amp; April 1 2008'!N17*1.02</f>
        <v>103165.02360000001</v>
      </c>
      <c r="N19" s="85">
        <f>'Jan 1 &amp; April 1 2008'!O17*1.025</f>
        <v>108260.23791631497</v>
      </c>
      <c r="O19" s="85"/>
    </row>
    <row r="20" spans="1:15" ht="25.5">
      <c r="A20" s="64" t="s">
        <v>20</v>
      </c>
      <c r="B20" s="64">
        <v>5</v>
      </c>
      <c r="C20" s="64" t="s">
        <v>48</v>
      </c>
      <c r="D20" s="65" t="s">
        <v>106</v>
      </c>
      <c r="E20" s="64">
        <v>630</v>
      </c>
      <c r="F20" s="64">
        <v>13</v>
      </c>
      <c r="G20" s="54" t="s">
        <v>6</v>
      </c>
      <c r="H20" s="66">
        <f>'Jan 1 &amp; April 1 2008'!I18*1.02</f>
        <v>80844.282000000007</v>
      </c>
      <c r="I20" s="66">
        <f>'Jan 1 &amp; April 1 2008'!J18*1.02</f>
        <v>84884.155199999994</v>
      </c>
      <c r="J20" s="66">
        <f>'Jan 1 &amp; April 1 2008'!K18*1.02</f>
        <v>89119.6225596</v>
      </c>
      <c r="K20" s="66">
        <f>'Jan 1 &amp; April 1 2008'!L18*1.02</f>
        <v>93578.7769596</v>
      </c>
      <c r="L20" s="66">
        <f>'Jan 1 &amp; April 1 2008'!M18*1.02</f>
        <v>98260.578000000009</v>
      </c>
      <c r="M20" s="66">
        <f>'Jan 1 &amp; April 1 2008'!N18*1.02</f>
        <v>103165.02360000001</v>
      </c>
      <c r="N20" s="66">
        <f>'Jan 1 &amp; April 1 2008'!O18*1.025</f>
        <v>108260.23791631497</v>
      </c>
      <c r="O20" s="66"/>
    </row>
    <row r="21" spans="1:15">
      <c r="A21" s="64"/>
      <c r="B21" s="64"/>
      <c r="C21" s="64"/>
      <c r="D21" s="65"/>
      <c r="E21" s="64"/>
      <c r="F21" s="64"/>
      <c r="H21" s="66"/>
      <c r="I21" s="66"/>
      <c r="J21" s="66"/>
      <c r="K21" s="66"/>
      <c r="L21" s="66"/>
      <c r="M21" s="66"/>
      <c r="N21" s="66"/>
      <c r="O21" s="67"/>
    </row>
    <row r="22" spans="1:15" ht="8.25" customHeight="1">
      <c r="A22" s="68"/>
      <c r="B22" s="69"/>
      <c r="C22" s="70"/>
      <c r="D22" s="69"/>
      <c r="E22" s="71"/>
      <c r="F22" s="71"/>
      <c r="G22" s="71"/>
      <c r="H22" s="71"/>
      <c r="I22" s="72"/>
      <c r="J22" s="70"/>
      <c r="K22" s="70"/>
    </row>
    <row r="23" spans="1:15" ht="13.15">
      <c r="A23" s="73" t="s">
        <v>67</v>
      </c>
    </row>
    <row r="24" spans="1:15">
      <c r="A24" s="75" t="s">
        <v>29</v>
      </c>
      <c r="B24" s="69"/>
      <c r="C24" s="70"/>
      <c r="D24" s="70"/>
      <c r="E24" s="70"/>
      <c r="F24" s="70"/>
      <c r="G24" s="70"/>
      <c r="H24" s="70"/>
      <c r="I24" s="70"/>
      <c r="J24" s="70"/>
      <c r="K24" s="70"/>
    </row>
    <row r="25" spans="1:15">
      <c r="A25" s="54" t="s">
        <v>30</v>
      </c>
    </row>
    <row r="26" spans="1:15">
      <c r="A26" s="54" t="s">
        <v>31</v>
      </c>
    </row>
    <row r="28" spans="1:15" ht="13.15">
      <c r="A28" s="73" t="s">
        <v>68</v>
      </c>
    </row>
    <row r="29" spans="1:15">
      <c r="A29" s="54" t="s">
        <v>33</v>
      </c>
    </row>
    <row r="30" spans="1:15">
      <c r="A30" s="70" t="s">
        <v>34</v>
      </c>
    </row>
    <row r="32" spans="1:15" ht="13.15">
      <c r="A32" s="55" t="s">
        <v>70</v>
      </c>
      <c r="B32" s="58"/>
      <c r="C32" s="55"/>
      <c r="D32" s="58"/>
      <c r="E32" s="58"/>
      <c r="F32" s="58"/>
      <c r="G32" s="58"/>
      <c r="H32" s="58"/>
    </row>
    <row r="33" spans="1:8" ht="13.15">
      <c r="A33" s="59" t="s">
        <v>75</v>
      </c>
      <c r="B33" s="58"/>
      <c r="C33" s="55"/>
      <c r="D33" s="58"/>
      <c r="E33" s="58"/>
      <c r="F33" s="58"/>
      <c r="G33" s="58"/>
      <c r="H33" s="58"/>
    </row>
    <row r="34" spans="1:8" ht="13.15">
      <c r="A34" s="66">
        <f>'Jan 1 &amp; April 1 2008'!A35*1.02</f>
        <v>529.30932624000002</v>
      </c>
      <c r="B34" s="76" t="s">
        <v>24</v>
      </c>
      <c r="C34" s="55"/>
      <c r="D34" s="58"/>
      <c r="E34" s="58"/>
      <c r="F34" s="58"/>
      <c r="G34" s="58"/>
      <c r="H34" s="58"/>
    </row>
    <row r="35" spans="1:8" ht="13.15">
      <c r="A35" s="66">
        <f>'Jan 1 &amp; April 1 2008'!A36*1.02</f>
        <v>742.54846176000012</v>
      </c>
      <c r="B35" s="76" t="s">
        <v>25</v>
      </c>
      <c r="C35" s="55"/>
      <c r="D35" s="58"/>
      <c r="E35" s="58"/>
      <c r="F35" s="58"/>
      <c r="G35" s="58"/>
      <c r="H35" s="58"/>
    </row>
    <row r="36" spans="1:8" ht="13.15">
      <c r="A36" s="66">
        <f>'Jan 1 &amp; April 1 2008'!A37*1.02</f>
        <v>900.58355712000002</v>
      </c>
      <c r="B36" s="76" t="s">
        <v>26</v>
      </c>
      <c r="C36" s="55"/>
      <c r="D36" s="58"/>
      <c r="E36" s="58"/>
      <c r="F36" s="58"/>
      <c r="G36" s="58"/>
      <c r="H36" s="58"/>
    </row>
    <row r="37" spans="1:8">
      <c r="A37" s="66">
        <f>'Jan 1 &amp; April 1 2008'!A38*1.02</f>
        <v>1061.8659489600002</v>
      </c>
      <c r="B37" s="76" t="s">
        <v>27</v>
      </c>
      <c r="C37" s="64"/>
      <c r="D37" s="65"/>
      <c r="E37" s="64"/>
      <c r="F37" s="64"/>
      <c r="H37" s="66"/>
    </row>
    <row r="38" spans="1:8">
      <c r="A38" s="64"/>
      <c r="B38" s="64"/>
      <c r="C38" s="64"/>
      <c r="D38" s="65"/>
      <c r="E38" s="64"/>
      <c r="F38" s="64"/>
      <c r="H38" s="66"/>
    </row>
  </sheetData>
  <sheetProtection selectLockedCells="1" selectUnlockedCells="1"/>
  <mergeCells count="1">
    <mergeCell ref="A1:M1"/>
  </mergeCells>
  <phoneticPr fontId="0" type="noConversion"/>
  <pageMargins left="0.25" right="0.25" top="1" bottom="0.5" header="0.5" footer="0.5"/>
  <pageSetup scale="96" orientation="landscape" cellComments="asDisplayed"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O37"/>
  <sheetViews>
    <sheetView zoomScaleNormal="100" workbookViewId="0">
      <selection activeCell="J9" sqref="J9"/>
    </sheetView>
  </sheetViews>
  <sheetFormatPr defaultColWidth="9.265625" defaultRowHeight="12.75"/>
  <cols>
    <col min="1" max="1" width="9" style="54" customWidth="1"/>
    <col min="2" max="2" width="6.265625" style="74" customWidth="1"/>
    <col min="3" max="3" width="5.73046875" style="54" customWidth="1"/>
    <col min="4" max="4" width="28.73046875" style="54" customWidth="1"/>
    <col min="5" max="5" width="6.59765625" style="54" hidden="1" customWidth="1"/>
    <col min="6" max="6" width="6.265625" style="54" customWidth="1"/>
    <col min="7" max="7" width="2.59765625" style="54" customWidth="1"/>
    <col min="8" max="8" width="10.265625" style="54" hidden="1" customWidth="1"/>
    <col min="9" max="9" width="11.73046875" style="54" customWidth="1"/>
    <col min="10" max="10" width="10.265625" style="54" customWidth="1"/>
    <col min="11" max="11" width="9.73046875" style="54" customWidth="1"/>
    <col min="12" max="13" width="10.59765625" style="54" customWidth="1"/>
    <col min="14" max="14" width="9.73046875" style="54" customWidth="1"/>
    <col min="15" max="16" width="9.265625" style="54" customWidth="1"/>
    <col min="17" max="16384" width="9.265625" style="54"/>
  </cols>
  <sheetData>
    <row r="1" spans="1:15" ht="20.65">
      <c r="A1" s="186" t="s">
        <v>0</v>
      </c>
      <c r="B1" s="186"/>
      <c r="C1" s="186"/>
      <c r="D1" s="186"/>
      <c r="E1" s="186"/>
      <c r="F1" s="186"/>
      <c r="G1" s="186"/>
      <c r="H1" s="186"/>
      <c r="I1" s="186"/>
      <c r="J1" s="186"/>
      <c r="K1" s="186"/>
      <c r="L1" s="186"/>
      <c r="M1" s="186"/>
    </row>
    <row r="2" spans="1:15" ht="13.15">
      <c r="A2" s="55"/>
      <c r="B2" s="56"/>
      <c r="C2" s="57"/>
      <c r="D2" s="56"/>
      <c r="E2" s="56"/>
      <c r="F2" s="58"/>
      <c r="G2" s="58"/>
      <c r="H2" s="58"/>
      <c r="I2" s="58"/>
      <c r="J2" s="58"/>
      <c r="K2" s="58"/>
      <c r="L2" s="58"/>
      <c r="M2" s="58"/>
    </row>
    <row r="3" spans="1:15" ht="13.15">
      <c r="A3" s="55" t="s">
        <v>1</v>
      </c>
      <c r="B3" s="58"/>
      <c r="C3" s="55"/>
      <c r="D3" s="58"/>
      <c r="E3" s="58"/>
      <c r="F3" s="58"/>
      <c r="G3" s="58"/>
      <c r="H3" s="58"/>
      <c r="I3" s="58"/>
      <c r="J3" s="58"/>
      <c r="K3" s="58"/>
      <c r="L3" s="58"/>
      <c r="M3" s="58"/>
    </row>
    <row r="4" spans="1:15" ht="13.15">
      <c r="A4" s="59" t="s">
        <v>96</v>
      </c>
      <c r="B4" s="58"/>
      <c r="C4" s="55"/>
      <c r="D4" s="58"/>
      <c r="E4" s="58"/>
      <c r="F4" s="58"/>
      <c r="G4" s="58"/>
      <c r="H4" s="58"/>
      <c r="I4" s="58"/>
      <c r="J4" s="58"/>
      <c r="K4" s="58"/>
      <c r="L4" s="58"/>
      <c r="M4" s="58"/>
    </row>
    <row r="5" spans="1:15" ht="13.15">
      <c r="A5" s="55"/>
      <c r="B5" s="58"/>
      <c r="C5" s="55"/>
      <c r="D5" s="58"/>
      <c r="E5" s="58"/>
      <c r="F5" s="58"/>
      <c r="G5" s="58"/>
      <c r="H5" s="58"/>
      <c r="I5" s="58"/>
      <c r="J5" s="58"/>
      <c r="K5" s="58"/>
      <c r="L5" s="58"/>
      <c r="M5" s="58"/>
    </row>
    <row r="6" spans="1:15" ht="13.5" thickBot="1">
      <c r="A6" s="59" t="s">
        <v>97</v>
      </c>
      <c r="B6" s="58"/>
      <c r="C6" s="55"/>
      <c r="D6" s="58"/>
      <c r="E6" s="58"/>
      <c r="F6" s="58"/>
      <c r="G6" s="58"/>
      <c r="H6" s="77" t="s">
        <v>85</v>
      </c>
    </row>
    <row r="7" spans="1:15" ht="13.9" thickTop="1" thickBot="1">
      <c r="A7" s="59"/>
      <c r="B7" s="58"/>
      <c r="C7" s="55"/>
      <c r="D7" s="58"/>
      <c r="E7" s="58"/>
      <c r="F7" s="58"/>
      <c r="G7" s="58"/>
      <c r="H7" s="78"/>
      <c r="I7" s="77" t="s">
        <v>86</v>
      </c>
      <c r="J7" s="77" t="s">
        <v>87</v>
      </c>
      <c r="K7" s="77" t="s">
        <v>88</v>
      </c>
      <c r="L7" s="77" t="s">
        <v>89</v>
      </c>
      <c r="M7" s="77" t="s">
        <v>90</v>
      </c>
      <c r="N7" s="77" t="s">
        <v>91</v>
      </c>
    </row>
    <row r="8" spans="1:15" ht="27" thickTop="1" thickBot="1">
      <c r="A8" s="61" t="s">
        <v>36</v>
      </c>
      <c r="B8" s="61" t="s">
        <v>37</v>
      </c>
      <c r="C8" s="61" t="s">
        <v>2</v>
      </c>
      <c r="D8" s="61" t="s">
        <v>38</v>
      </c>
      <c r="E8" s="61" t="s">
        <v>39</v>
      </c>
      <c r="F8" s="61" t="s">
        <v>40</v>
      </c>
      <c r="G8" s="62" t="s">
        <v>3</v>
      </c>
      <c r="H8" s="79"/>
      <c r="I8" s="63" t="s">
        <v>41</v>
      </c>
      <c r="J8" s="63" t="s">
        <v>42</v>
      </c>
      <c r="K8" s="63" t="s">
        <v>43</v>
      </c>
      <c r="L8" s="63" t="s">
        <v>44</v>
      </c>
      <c r="M8" s="63" t="s">
        <v>45</v>
      </c>
      <c r="N8" s="63" t="s">
        <v>46</v>
      </c>
      <c r="O8" s="80"/>
    </row>
    <row r="9" spans="1:15" ht="13.15" thickTop="1">
      <c r="A9" s="64" t="s">
        <v>7</v>
      </c>
      <c r="B9" s="64">
        <v>5</v>
      </c>
      <c r="C9" s="64" t="s">
        <v>48</v>
      </c>
      <c r="D9" s="65" t="s">
        <v>98</v>
      </c>
      <c r="E9" s="64">
        <v>610</v>
      </c>
      <c r="F9" s="64">
        <v>13</v>
      </c>
      <c r="G9" s="54" t="s">
        <v>6</v>
      </c>
      <c r="H9" s="81">
        <f>'Jan 1 &amp; April 1 2008'!I8*1.02</f>
        <v>80844.282000000007</v>
      </c>
      <c r="I9" s="66">
        <f>'Jan &amp; April 1 2009'!I9*1.0225</f>
        <v>86794.048691999997</v>
      </c>
      <c r="J9" s="66">
        <f>'Jan &amp; April 1 2009'!J9*1.0225</f>
        <v>91124.814067190993</v>
      </c>
      <c r="K9" s="66">
        <f>'Jan &amp; April 1 2009'!K9*1.0225</f>
        <v>95684.299441190989</v>
      </c>
      <c r="L9" s="66">
        <f>'Jan &amp; April 1 2009'!L9*1.0225</f>
        <v>100471.441005</v>
      </c>
      <c r="M9" s="66">
        <f>'Jan &amp; April 1 2009'!M9*1.0225</f>
        <v>105486.23663100001</v>
      </c>
      <c r="N9" s="66">
        <f>'Jan &amp; April 1 2009'!N9*1.0225</f>
        <v>110696.09326943205</v>
      </c>
      <c r="O9" s="66"/>
    </row>
    <row r="10" spans="1:15">
      <c r="A10" s="64" t="s">
        <v>8</v>
      </c>
      <c r="B10" s="64">
        <v>13</v>
      </c>
      <c r="C10" s="64" t="s">
        <v>48</v>
      </c>
      <c r="D10" s="65" t="s">
        <v>99</v>
      </c>
      <c r="E10" s="64">
        <v>395</v>
      </c>
      <c r="F10" s="64">
        <v>8</v>
      </c>
      <c r="G10" s="54" t="s">
        <v>6</v>
      </c>
      <c r="H10" s="81">
        <f>'Jan 1 &amp; April 1 2008'!I9*1.02</f>
        <v>44688.301200000002</v>
      </c>
      <c r="I10" s="66">
        <f>'Jan &amp; April 1 2009'!I10*1.0225</f>
        <v>48372.457975191006</v>
      </c>
      <c r="J10" s="66">
        <f>'Jan &amp; April 1 2009'!J10*1.0225</f>
        <v>51241.550848191</v>
      </c>
      <c r="K10" s="66">
        <f>'Jan &amp; April 1 2009'!K10*1.0225</f>
        <v>54367.021690191003</v>
      </c>
      <c r="L10" s="66">
        <f>'Jan &amp; April 1 2009'!L10*1.0225</f>
        <v>57393.559359000006</v>
      </c>
      <c r="M10" s="66">
        <f>'Jan &amp; April 1 2009'!M10*1.0225</f>
        <v>61571.136238191</v>
      </c>
      <c r="N10" s="66">
        <f>'Jan &amp; April 1 2009'!N10*1.0225</f>
        <v>64612.071274943235</v>
      </c>
      <c r="O10" s="66"/>
    </row>
    <row r="11" spans="1:15">
      <c r="A11" s="64" t="s">
        <v>12</v>
      </c>
      <c r="B11" s="64">
        <v>5</v>
      </c>
      <c r="C11" s="64" t="s">
        <v>48</v>
      </c>
      <c r="D11" s="65" t="s">
        <v>51</v>
      </c>
      <c r="E11" s="64">
        <v>600</v>
      </c>
      <c r="F11" s="64">
        <v>13</v>
      </c>
      <c r="G11" s="54" t="s">
        <v>6</v>
      </c>
      <c r="H11" s="81">
        <f>'Jan 1 &amp; April 1 2008'!I10*1.02</f>
        <v>80844.282000000007</v>
      </c>
      <c r="I11" s="66">
        <f>'Jan &amp; April 1 2009'!I11*1.0225</f>
        <v>86794.048691999997</v>
      </c>
      <c r="J11" s="66">
        <f>'Jan &amp; April 1 2009'!J11*1.0225</f>
        <v>91124.814067190993</v>
      </c>
      <c r="K11" s="66">
        <f>'Jan &amp; April 1 2009'!K11*1.0225</f>
        <v>95684.299441190989</v>
      </c>
      <c r="L11" s="66">
        <f>'Jan &amp; April 1 2009'!L11*1.0225</f>
        <v>100471.441005</v>
      </c>
      <c r="M11" s="66">
        <f>'Jan &amp; April 1 2009'!M11*1.0225</f>
        <v>105486.23663100001</v>
      </c>
      <c r="N11" s="66">
        <f>'Jan &amp; April 1 2009'!N11*1.0225</f>
        <v>110696.09326943205</v>
      </c>
      <c r="O11" s="66"/>
    </row>
    <row r="12" spans="1:15">
      <c r="A12" s="64" t="s">
        <v>13</v>
      </c>
      <c r="B12" s="64">
        <v>1</v>
      </c>
      <c r="C12" s="64" t="s">
        <v>48</v>
      </c>
      <c r="D12" s="65" t="s">
        <v>100</v>
      </c>
      <c r="E12" s="64">
        <v>470</v>
      </c>
      <c r="F12" s="64">
        <v>10</v>
      </c>
      <c r="G12" s="54" t="s">
        <v>6</v>
      </c>
      <c r="H12" s="81">
        <f>'Jan 1 &amp; April 1 2008'!I11*1.02</f>
        <v>62562.373200000002</v>
      </c>
      <c r="I12" s="66">
        <f>'Jan &amp; April 1 2009'!I12*1.0225</f>
        <v>67162.518469809002</v>
      </c>
      <c r="J12" s="66">
        <f>'Jan &amp; April 1 2009'!J12*1.0225</f>
        <v>70524.152782190999</v>
      </c>
      <c r="K12" s="66">
        <f>'Jan &amp; April 1 2009'!K12*1.0225</f>
        <v>74058.127344000008</v>
      </c>
      <c r="L12" s="66">
        <f>'Jan &amp; April 1 2009'!L12*1.0225</f>
        <v>77762.310282000006</v>
      </c>
      <c r="M12" s="66">
        <f>'Jan &amp; April 1 2009'!M12*1.0225</f>
        <v>81637.767532808997</v>
      </c>
      <c r="N12" s="66">
        <f>'Jan &amp; April 1 2009'!N12*1.0225</f>
        <v>85669.772832376082</v>
      </c>
      <c r="O12" s="66"/>
    </row>
    <row r="13" spans="1:15">
      <c r="A13" s="64" t="s">
        <v>9</v>
      </c>
      <c r="B13" s="64">
        <v>4</v>
      </c>
      <c r="C13" s="64" t="s">
        <v>48</v>
      </c>
      <c r="D13" s="65" t="s">
        <v>101</v>
      </c>
      <c r="E13" s="64">
        <v>578</v>
      </c>
      <c r="F13" s="64">
        <v>12</v>
      </c>
      <c r="G13" s="54" t="s">
        <v>6</v>
      </c>
      <c r="H13" s="81">
        <f>'Jan 1 &amp; April 1 2008'!I12*1.02</f>
        <v>76608.812559600003</v>
      </c>
      <c r="I13" s="66">
        <f>'Jan &amp; April 1 2009'!I13*1.0225</f>
        <v>82234.563318</v>
      </c>
      <c r="J13" s="66">
        <f>'Jan &amp; April 1 2009'!J13*1.0225</f>
        <v>86338.738440000001</v>
      </c>
      <c r="K13" s="66">
        <f>'Jan &amp; April 1 2009'!K13*1.0225</f>
        <v>90669.503815191012</v>
      </c>
      <c r="L13" s="66">
        <f>'Jan &amp; April 1 2009'!L13*1.0225</f>
        <v>95200.266346190983</v>
      </c>
      <c r="M13" s="66">
        <f>'Jan &amp; April 1 2009'!M13*1.0225</f>
        <v>99957.620194190997</v>
      </c>
      <c r="N13" s="66">
        <f>'Jan &amp; April 1 2009'!N13*1.0225</f>
        <v>104894.42415803185</v>
      </c>
      <c r="O13" s="66"/>
    </row>
    <row r="14" spans="1:15">
      <c r="A14" s="64" t="s">
        <v>10</v>
      </c>
      <c r="B14" s="64">
        <v>1</v>
      </c>
      <c r="C14" s="64" t="s">
        <v>48</v>
      </c>
      <c r="D14" s="65" t="s">
        <v>102</v>
      </c>
      <c r="E14" s="64">
        <v>485</v>
      </c>
      <c r="F14" s="64">
        <v>10</v>
      </c>
      <c r="G14" s="54" t="s">
        <v>6</v>
      </c>
      <c r="H14" s="81">
        <f>'Jan 1 &amp; April 1 2008'!I13*1.02</f>
        <v>62562.373200000002</v>
      </c>
      <c r="I14" s="66">
        <f>'Jan &amp; April 1 2009'!I14*1.0225</f>
        <v>67162.518469809002</v>
      </c>
      <c r="J14" s="66">
        <f>'Jan &amp; April 1 2009'!J14*1.0225</f>
        <v>70524.152782190999</v>
      </c>
      <c r="K14" s="66">
        <f>'Jan &amp; April 1 2009'!K14*1.0225</f>
        <v>74058.127344000008</v>
      </c>
      <c r="L14" s="66">
        <f>'Jan &amp; April 1 2009'!L14*1.0225</f>
        <v>77762.310282000006</v>
      </c>
      <c r="M14" s="66">
        <f>'Jan &amp; April 1 2009'!M14*1.0225</f>
        <v>81637.767532808997</v>
      </c>
      <c r="N14" s="66">
        <f>'Jan &amp; April 1 2009'!N14*1.0225</f>
        <v>85669.772832376082</v>
      </c>
      <c r="O14" s="66"/>
    </row>
    <row r="15" spans="1:15" ht="14.25" customHeight="1">
      <c r="A15" s="64" t="s">
        <v>78</v>
      </c>
      <c r="B15" s="64">
        <v>1</v>
      </c>
      <c r="C15" s="64" t="s">
        <v>48</v>
      </c>
      <c r="D15" s="65" t="s">
        <v>92</v>
      </c>
      <c r="E15" s="64"/>
      <c r="F15" s="64">
        <v>10</v>
      </c>
      <c r="G15" s="54" t="s">
        <v>6</v>
      </c>
      <c r="H15" s="81">
        <f>'Jan 1 &amp; April 1 2008'!I14*1.02</f>
        <v>62562.373200000002</v>
      </c>
      <c r="I15" s="66">
        <f>'Jan &amp; April 1 2009'!I15*1.0225</f>
        <v>67162.518469809002</v>
      </c>
      <c r="J15" s="66">
        <f>'Jan &amp; April 1 2009'!J15*1.0225</f>
        <v>70524.152782190999</v>
      </c>
      <c r="K15" s="66">
        <f>'Jan &amp; April 1 2009'!K15*1.0225</f>
        <v>74058.127344000008</v>
      </c>
      <c r="L15" s="66">
        <f>'Jan &amp; April 1 2009'!L15*1.0225</f>
        <v>77762.310282000006</v>
      </c>
      <c r="M15" s="66">
        <f>'Jan &amp; April 1 2009'!M15*1.0225</f>
        <v>81637.767532808997</v>
      </c>
      <c r="N15" s="66">
        <f>'Jan &amp; April 1 2009'!N15*1.0225</f>
        <v>85669.772832376082</v>
      </c>
      <c r="O15" s="66"/>
    </row>
    <row r="16" spans="1:15">
      <c r="A16" s="64" t="s">
        <v>11</v>
      </c>
      <c r="B16" s="64">
        <v>2</v>
      </c>
      <c r="C16" s="64" t="s">
        <v>48</v>
      </c>
      <c r="D16" s="65" t="s">
        <v>103</v>
      </c>
      <c r="E16" s="64">
        <v>523</v>
      </c>
      <c r="F16" s="64">
        <v>11</v>
      </c>
      <c r="G16" s="54" t="s">
        <v>6</v>
      </c>
      <c r="H16" s="81">
        <f>'Jan 1 &amp; April 1 2008'!I15*1.02</f>
        <v>69642.295199999993</v>
      </c>
      <c r="I16" s="66">
        <f>'Jan &amp; April 1 2009'!I16*1.0225</f>
        <v>74768.750692190995</v>
      </c>
      <c r="J16" s="66">
        <f>'Jan &amp; April 1 2009'!J16*1.0225</f>
        <v>78503.784091190988</v>
      </c>
      <c r="K16" s="66">
        <f>'Jan &amp; April 1 2009'!K16*1.0225</f>
        <v>82434.558346190999</v>
      </c>
      <c r="L16" s="66">
        <f>'Jan &amp; April 1 2009'!L16*1.0225</f>
        <v>86537.669659190986</v>
      </c>
      <c r="M16" s="66">
        <f>'Jan &amp; April 1 2009'!M16*1.0225</f>
        <v>90869.500971000001</v>
      </c>
      <c r="N16" s="66">
        <f>'Jan &amp; April 1 2009'!N16*1.0225</f>
        <v>95357.452081824304</v>
      </c>
      <c r="O16" s="66"/>
    </row>
    <row r="17" spans="1:15">
      <c r="A17" s="64" t="s">
        <v>16</v>
      </c>
      <c r="B17" s="64">
        <v>5</v>
      </c>
      <c r="C17" s="64" t="s">
        <v>48</v>
      </c>
      <c r="D17" s="65" t="s">
        <v>104</v>
      </c>
      <c r="E17" s="64">
        <v>625</v>
      </c>
      <c r="F17" s="64">
        <v>13</v>
      </c>
      <c r="G17" s="54" t="s">
        <v>6</v>
      </c>
      <c r="H17" s="81">
        <f>'Jan 1 &amp; April 1 2008'!I16*1.02</f>
        <v>80844.282000000007</v>
      </c>
      <c r="I17" s="66">
        <f>'Jan &amp; April 1 2009'!I17*1.0225</f>
        <v>86794.048691999997</v>
      </c>
      <c r="J17" s="66">
        <f>'Jan &amp; April 1 2009'!J17*1.0225</f>
        <v>91124.814067190993</v>
      </c>
      <c r="K17" s="66">
        <f>'Jan &amp; April 1 2009'!K17*1.0225</f>
        <v>95684.299441190989</v>
      </c>
      <c r="L17" s="66">
        <f>'Jan &amp; April 1 2009'!L17*1.0225</f>
        <v>100471.441005</v>
      </c>
      <c r="M17" s="66">
        <f>'Jan &amp; April 1 2009'!M17*1.0225</f>
        <v>105486.23663100001</v>
      </c>
      <c r="N17" s="66">
        <f>'Jan &amp; April 1 2009'!N17*1.0225</f>
        <v>110696.09326943205</v>
      </c>
      <c r="O17" s="66"/>
    </row>
    <row r="18" spans="1:15">
      <c r="A18" s="64" t="s">
        <v>18</v>
      </c>
      <c r="B18" s="64">
        <v>5</v>
      </c>
      <c r="C18" s="64" t="s">
        <v>48</v>
      </c>
      <c r="D18" s="65" t="s">
        <v>105</v>
      </c>
      <c r="E18" s="64">
        <v>588</v>
      </c>
      <c r="F18" s="64">
        <v>13</v>
      </c>
      <c r="G18" s="54" t="s">
        <v>6</v>
      </c>
      <c r="H18" s="81">
        <f>'Jan 1 &amp; April 1 2008'!I17*1.02</f>
        <v>80844.282000000007</v>
      </c>
      <c r="I18" s="66">
        <f>'Jan &amp; April 1 2009'!I18*1.0225</f>
        <v>86794.048691999997</v>
      </c>
      <c r="J18" s="66">
        <f>'Jan &amp; April 1 2009'!J18*1.0225</f>
        <v>91124.814067190993</v>
      </c>
      <c r="K18" s="66">
        <f>'Jan &amp; April 1 2009'!K18*1.0225</f>
        <v>95684.299441190989</v>
      </c>
      <c r="L18" s="66">
        <f>'Jan &amp; April 1 2009'!L18*1.0225</f>
        <v>100471.441005</v>
      </c>
      <c r="M18" s="66">
        <f>'Jan &amp; April 1 2009'!M18*1.0225</f>
        <v>105486.23663100001</v>
      </c>
      <c r="N18" s="66">
        <f>'Jan &amp; April 1 2009'!N18*1.0225</f>
        <v>110696.09326943205</v>
      </c>
      <c r="O18" s="66"/>
    </row>
    <row r="19" spans="1:15" ht="25.5">
      <c r="A19" s="64" t="s">
        <v>20</v>
      </c>
      <c r="B19" s="64">
        <v>5</v>
      </c>
      <c r="C19" s="64" t="s">
        <v>48</v>
      </c>
      <c r="D19" s="65" t="s">
        <v>106</v>
      </c>
      <c r="E19" s="64">
        <v>630</v>
      </c>
      <c r="F19" s="64">
        <v>13</v>
      </c>
      <c r="G19" s="54" t="s">
        <v>6</v>
      </c>
      <c r="H19" s="81">
        <f>'Jan 1 &amp; April 1 2008'!I18*1.02</f>
        <v>80844.282000000007</v>
      </c>
      <c r="I19" s="66">
        <f>'Jan &amp; April 1 2009'!I20*1.0225</f>
        <v>86794.048691999997</v>
      </c>
      <c r="J19" s="66">
        <f>'Jan &amp; April 1 2009'!J20*1.0225</f>
        <v>91124.814067190993</v>
      </c>
      <c r="K19" s="66">
        <f>'Jan &amp; April 1 2009'!K20*1.0225</f>
        <v>95684.299441190989</v>
      </c>
      <c r="L19" s="66">
        <f>'Jan &amp; April 1 2009'!L20*1.0225</f>
        <v>100471.441005</v>
      </c>
      <c r="M19" s="66">
        <f>'Jan &amp; April 1 2009'!M20*1.0225</f>
        <v>105486.23663100001</v>
      </c>
      <c r="N19" s="66">
        <f>'Jan &amp; April 1 2009'!N20*1.0225</f>
        <v>110696.09326943205</v>
      </c>
      <c r="O19" s="66"/>
    </row>
    <row r="20" spans="1:15">
      <c r="A20" s="64"/>
      <c r="B20" s="64"/>
      <c r="C20" s="64"/>
      <c r="D20" s="65"/>
      <c r="E20" s="64"/>
      <c r="F20" s="64"/>
      <c r="H20" s="66"/>
      <c r="I20" s="66"/>
      <c r="J20" s="66"/>
      <c r="K20" s="66"/>
      <c r="L20" s="66"/>
      <c r="M20" s="66"/>
      <c r="N20" s="66"/>
      <c r="O20" s="67"/>
    </row>
    <row r="21" spans="1:15" ht="8.25" customHeight="1">
      <c r="A21" s="68"/>
      <c r="B21" s="69"/>
      <c r="C21" s="70"/>
      <c r="D21" s="69"/>
      <c r="E21" s="71"/>
      <c r="F21" s="71"/>
      <c r="G21" s="71"/>
      <c r="H21" s="71"/>
      <c r="I21" s="72"/>
      <c r="J21" s="70"/>
      <c r="K21" s="70"/>
    </row>
    <row r="22" spans="1:15" ht="13.15">
      <c r="A22" s="73" t="s">
        <v>67</v>
      </c>
    </row>
    <row r="23" spans="1:15">
      <c r="A23" s="75" t="s">
        <v>29</v>
      </c>
      <c r="B23" s="69"/>
      <c r="C23" s="70"/>
      <c r="D23" s="70"/>
      <c r="E23" s="70"/>
      <c r="F23" s="70"/>
      <c r="G23" s="70"/>
      <c r="H23" s="70"/>
      <c r="I23" s="70"/>
      <c r="J23" s="70"/>
      <c r="K23" s="70"/>
    </row>
    <row r="24" spans="1:15">
      <c r="A24" s="54" t="s">
        <v>30</v>
      </c>
    </row>
    <row r="25" spans="1:15">
      <c r="A25" s="54" t="s">
        <v>31</v>
      </c>
    </row>
    <row r="27" spans="1:15" ht="13.15">
      <c r="A27" s="73" t="s">
        <v>68</v>
      </c>
    </row>
    <row r="28" spans="1:15">
      <c r="A28" s="54" t="s">
        <v>33</v>
      </c>
    </row>
    <row r="29" spans="1:15">
      <c r="A29" s="70" t="s">
        <v>34</v>
      </c>
    </row>
    <row r="31" spans="1:15" ht="13.15">
      <c r="A31" s="55" t="s">
        <v>70</v>
      </c>
      <c r="B31" s="58"/>
      <c r="C31" s="55"/>
      <c r="D31" s="58"/>
      <c r="E31" s="58"/>
      <c r="F31" s="58"/>
      <c r="G31" s="58"/>
      <c r="H31" s="58"/>
    </row>
    <row r="32" spans="1:15" ht="13.15">
      <c r="A32" s="59" t="s">
        <v>75</v>
      </c>
      <c r="B32" s="58"/>
      <c r="C32" s="55"/>
      <c r="D32" s="58"/>
      <c r="E32" s="58"/>
      <c r="F32" s="58"/>
      <c r="G32" s="58"/>
      <c r="H32" s="58"/>
    </row>
    <row r="33" spans="1:8" ht="13.15">
      <c r="A33" s="66">
        <f>'Jan &amp; April 1 2009'!A34*1.02</f>
        <v>539.89551276480006</v>
      </c>
      <c r="B33" s="76" t="s">
        <v>24</v>
      </c>
      <c r="C33" s="55"/>
      <c r="D33" s="58"/>
      <c r="E33" s="58"/>
      <c r="F33" s="58"/>
      <c r="G33" s="58"/>
      <c r="H33" s="58"/>
    </row>
    <row r="34" spans="1:8" ht="13.15">
      <c r="A34" s="66">
        <f>'Jan &amp; April 1 2009'!A35*1.02</f>
        <v>757.39943099520019</v>
      </c>
      <c r="B34" s="76" t="s">
        <v>25</v>
      </c>
      <c r="C34" s="55"/>
      <c r="D34" s="58"/>
      <c r="E34" s="58"/>
      <c r="F34" s="58"/>
      <c r="G34" s="58"/>
      <c r="H34" s="58"/>
    </row>
    <row r="35" spans="1:8" ht="13.15">
      <c r="A35" s="66">
        <f>'Jan &amp; April 1 2009'!A36*1.02</f>
        <v>918.59522826240004</v>
      </c>
      <c r="B35" s="76" t="s">
        <v>26</v>
      </c>
      <c r="C35" s="55"/>
      <c r="D35" s="58"/>
      <c r="E35" s="58"/>
      <c r="F35" s="58"/>
      <c r="G35" s="58"/>
      <c r="H35" s="58"/>
    </row>
    <row r="36" spans="1:8">
      <c r="A36" s="66">
        <f>'Jan &amp; April 1 2009'!A37*1.02</f>
        <v>1083.1032679392001</v>
      </c>
      <c r="B36" s="76" t="s">
        <v>27</v>
      </c>
      <c r="C36" s="64"/>
      <c r="D36" s="65"/>
      <c r="E36" s="64"/>
      <c r="F36" s="64"/>
      <c r="H36" s="66"/>
    </row>
    <row r="37" spans="1:8">
      <c r="A37" s="64"/>
      <c r="B37" s="64"/>
      <c r="C37" s="64"/>
      <c r="D37" s="65"/>
      <c r="E37" s="64"/>
      <c r="F37" s="64"/>
      <c r="H37" s="66"/>
    </row>
  </sheetData>
  <sheetProtection password="E3B7" sheet="1" objects="1" scenarios="1"/>
  <mergeCells count="1">
    <mergeCell ref="A1:M1"/>
  </mergeCells>
  <phoneticPr fontId="0" type="noConversion"/>
  <pageMargins left="0.25" right="0.25" top="1" bottom="0.5" header="0.5" footer="0.5"/>
  <pageSetup scale="96" orientation="landscape"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O35"/>
  <sheetViews>
    <sheetView zoomScaleNormal="100" workbookViewId="0">
      <selection activeCell="C38" sqref="C38"/>
    </sheetView>
  </sheetViews>
  <sheetFormatPr defaultColWidth="9.265625" defaultRowHeight="12.75"/>
  <cols>
    <col min="1" max="1" width="10.265625" style="54" customWidth="1"/>
    <col min="2" max="2" width="6.265625" style="74" customWidth="1"/>
    <col min="3" max="3" width="5.73046875" style="54" customWidth="1"/>
    <col min="4" max="4" width="28.73046875" style="54" customWidth="1"/>
    <col min="5" max="5" width="6.59765625" style="54" hidden="1" customWidth="1"/>
    <col min="6" max="6" width="6.265625" style="54" customWidth="1"/>
    <col min="7" max="7" width="2.59765625" style="54" customWidth="1"/>
    <col min="8" max="8" width="10.265625" style="54" hidden="1" customWidth="1"/>
    <col min="9" max="9" width="11.73046875" style="54" customWidth="1"/>
    <col min="10" max="10" width="10.265625" style="54" customWidth="1"/>
    <col min="11" max="11" width="9.73046875" style="54" customWidth="1"/>
    <col min="12" max="13" width="10.59765625" style="54" customWidth="1"/>
    <col min="14" max="14" width="9.73046875" style="54" customWidth="1"/>
    <col min="15" max="16" width="9.265625" style="54" customWidth="1"/>
    <col min="17" max="16384" width="9.265625" style="54"/>
  </cols>
  <sheetData>
    <row r="1" spans="1:15" ht="20.65">
      <c r="A1" s="186" t="s">
        <v>0</v>
      </c>
      <c r="B1" s="186"/>
      <c r="C1" s="186"/>
      <c r="D1" s="186"/>
      <c r="E1" s="186"/>
      <c r="F1" s="186"/>
      <c r="G1" s="186"/>
      <c r="H1" s="186"/>
      <c r="I1" s="186"/>
      <c r="J1" s="186"/>
      <c r="K1" s="186"/>
      <c r="L1" s="186"/>
      <c r="M1" s="186"/>
    </row>
    <row r="2" spans="1:15" ht="13.15">
      <c r="A2" s="55"/>
      <c r="B2" s="56"/>
      <c r="C2" s="57"/>
      <c r="D2" s="56"/>
      <c r="E2" s="56"/>
      <c r="F2" s="58"/>
      <c r="G2" s="58"/>
      <c r="H2" s="58"/>
      <c r="I2" s="58"/>
      <c r="J2" s="58"/>
      <c r="K2" s="58"/>
      <c r="L2" s="58"/>
      <c r="M2" s="58"/>
    </row>
    <row r="3" spans="1:15" ht="13.15">
      <c r="A3" s="55" t="s">
        <v>1</v>
      </c>
      <c r="B3" s="58"/>
      <c r="C3" s="55"/>
      <c r="D3" s="58"/>
      <c r="E3" s="58"/>
      <c r="F3" s="58"/>
      <c r="G3" s="58"/>
      <c r="H3" s="58"/>
      <c r="I3" s="58"/>
      <c r="J3" s="58"/>
      <c r="K3" s="58"/>
      <c r="L3" s="58"/>
      <c r="M3" s="58"/>
    </row>
    <row r="4" spans="1:15" ht="13.15">
      <c r="A4" s="59" t="s">
        <v>110</v>
      </c>
      <c r="B4" s="58"/>
      <c r="C4" s="55"/>
      <c r="D4" s="58"/>
      <c r="E4" s="58"/>
      <c r="F4" s="58"/>
      <c r="G4" s="58"/>
      <c r="H4" s="58"/>
      <c r="I4" s="58"/>
      <c r="J4" s="58"/>
      <c r="K4" s="58"/>
      <c r="L4" s="58"/>
      <c r="M4" s="58"/>
    </row>
    <row r="5" spans="1:15" ht="13.15">
      <c r="A5" s="55"/>
      <c r="B5" s="55" t="s">
        <v>112</v>
      </c>
      <c r="C5" s="55"/>
      <c r="D5" s="58"/>
      <c r="E5" s="58"/>
      <c r="F5" s="58"/>
      <c r="G5" s="58"/>
      <c r="H5" s="58"/>
      <c r="I5" s="58"/>
      <c r="J5" s="58"/>
      <c r="K5" s="58"/>
      <c r="L5" s="58"/>
      <c r="M5" s="58"/>
    </row>
    <row r="6" spans="1:15" ht="26.65" thickBot="1">
      <c r="A6" s="61" t="s">
        <v>36</v>
      </c>
      <c r="B6" s="61" t="s">
        <v>37</v>
      </c>
      <c r="C6" s="61" t="s">
        <v>2</v>
      </c>
      <c r="D6" s="61" t="s">
        <v>38</v>
      </c>
      <c r="E6" s="61" t="s">
        <v>39</v>
      </c>
      <c r="F6" s="61" t="s">
        <v>40</v>
      </c>
      <c r="G6" s="62" t="s">
        <v>3</v>
      </c>
      <c r="H6" s="79"/>
      <c r="I6" s="63" t="s">
        <v>41</v>
      </c>
      <c r="J6" s="63" t="s">
        <v>42</v>
      </c>
      <c r="K6" s="63" t="s">
        <v>43</v>
      </c>
      <c r="L6" s="63" t="s">
        <v>44</v>
      </c>
      <c r="M6" s="63" t="s">
        <v>45</v>
      </c>
      <c r="N6" s="63" t="s">
        <v>46</v>
      </c>
      <c r="O6" s="80"/>
    </row>
    <row r="7" spans="1:15" ht="13.15" thickTop="1">
      <c r="A7" s="64" t="s">
        <v>7</v>
      </c>
      <c r="B7" s="64">
        <v>5</v>
      </c>
      <c r="C7" s="64" t="s">
        <v>48</v>
      </c>
      <c r="D7" s="65" t="s">
        <v>98</v>
      </c>
      <c r="E7" s="64">
        <v>610</v>
      </c>
      <c r="F7" s="64">
        <v>13</v>
      </c>
      <c r="G7" s="54" t="s">
        <v>6</v>
      </c>
      <c r="H7" s="81">
        <v>80844.282000000007</v>
      </c>
      <c r="I7" s="66">
        <v>86794.048691999997</v>
      </c>
      <c r="J7" s="66">
        <v>91124.814067190993</v>
      </c>
      <c r="K7" s="66">
        <v>95684.299441190989</v>
      </c>
      <c r="L7" s="66">
        <v>100471.441005</v>
      </c>
      <c r="M7" s="66">
        <v>105486.23663100001</v>
      </c>
      <c r="N7" s="66">
        <v>110696.09326943205</v>
      </c>
      <c r="O7" s="66"/>
    </row>
    <row r="8" spans="1:15">
      <c r="A8" s="64" t="s">
        <v>8</v>
      </c>
      <c r="B8" s="64">
        <v>13</v>
      </c>
      <c r="C8" s="64" t="s">
        <v>48</v>
      </c>
      <c r="D8" s="65" t="s">
        <v>99</v>
      </c>
      <c r="E8" s="64">
        <v>395</v>
      </c>
      <c r="F8" s="64">
        <v>8</v>
      </c>
      <c r="G8" s="54" t="s">
        <v>6</v>
      </c>
      <c r="H8" s="81">
        <v>44688.301200000002</v>
      </c>
      <c r="I8" s="66">
        <v>48372.457975191006</v>
      </c>
      <c r="J8" s="66">
        <v>51241.550848191</v>
      </c>
      <c r="K8" s="66">
        <v>54367.021690191003</v>
      </c>
      <c r="L8" s="66">
        <v>57393.559359000006</v>
      </c>
      <c r="M8" s="66">
        <v>61571.136238191</v>
      </c>
      <c r="N8" s="66">
        <v>64612.071274943235</v>
      </c>
      <c r="O8" s="66"/>
    </row>
    <row r="9" spans="1:15">
      <c r="A9" s="64" t="s">
        <v>12</v>
      </c>
      <c r="B9" s="64">
        <v>5</v>
      </c>
      <c r="C9" s="64" t="s">
        <v>48</v>
      </c>
      <c r="D9" s="65" t="s">
        <v>51</v>
      </c>
      <c r="E9" s="64">
        <v>600</v>
      </c>
      <c r="F9" s="64">
        <v>13</v>
      </c>
      <c r="G9" s="54" t="s">
        <v>6</v>
      </c>
      <c r="H9" s="81">
        <v>80844.282000000007</v>
      </c>
      <c r="I9" s="66">
        <v>86794.048691999997</v>
      </c>
      <c r="J9" s="66">
        <v>91124.814067190993</v>
      </c>
      <c r="K9" s="66">
        <v>95684.299441190989</v>
      </c>
      <c r="L9" s="66">
        <v>100471.441005</v>
      </c>
      <c r="M9" s="66">
        <v>105486.23663100001</v>
      </c>
      <c r="N9" s="66">
        <v>110696.09326943205</v>
      </c>
      <c r="O9" s="66"/>
    </row>
    <row r="10" spans="1:15">
      <c r="A10" s="64" t="s">
        <v>13</v>
      </c>
      <c r="B10" s="64">
        <v>1</v>
      </c>
      <c r="C10" s="64" t="s">
        <v>48</v>
      </c>
      <c r="D10" s="65" t="s">
        <v>100</v>
      </c>
      <c r="E10" s="64">
        <v>470</v>
      </c>
      <c r="F10" s="64">
        <v>10</v>
      </c>
      <c r="G10" s="54" t="s">
        <v>6</v>
      </c>
      <c r="H10" s="81">
        <v>62562.373200000002</v>
      </c>
      <c r="I10" s="66">
        <v>67162.518469809002</v>
      </c>
      <c r="J10" s="66">
        <v>70524.152782190999</v>
      </c>
      <c r="K10" s="66">
        <v>74058.127344000008</v>
      </c>
      <c r="L10" s="66">
        <v>77762.310282000006</v>
      </c>
      <c r="M10" s="66">
        <v>81637.767532808997</v>
      </c>
      <c r="N10" s="66">
        <v>85669.772832376082</v>
      </c>
      <c r="O10" s="66"/>
    </row>
    <row r="11" spans="1:15">
      <c r="A11" s="64" t="s">
        <v>9</v>
      </c>
      <c r="B11" s="64">
        <v>4</v>
      </c>
      <c r="C11" s="64" t="s">
        <v>48</v>
      </c>
      <c r="D11" s="65" t="s">
        <v>101</v>
      </c>
      <c r="E11" s="64">
        <v>578</v>
      </c>
      <c r="F11" s="64">
        <v>12</v>
      </c>
      <c r="G11" s="54" t="s">
        <v>6</v>
      </c>
      <c r="H11" s="81">
        <v>76608.812559600003</v>
      </c>
      <c r="I11" s="66">
        <v>82234.563318</v>
      </c>
      <c r="J11" s="66">
        <v>86338.738440000001</v>
      </c>
      <c r="K11" s="66">
        <v>90669.503815191012</v>
      </c>
      <c r="L11" s="66">
        <v>95200.266346190983</v>
      </c>
      <c r="M11" s="66">
        <v>99957.620194190997</v>
      </c>
      <c r="N11" s="66">
        <v>104894.42415803185</v>
      </c>
      <c r="O11" s="66"/>
    </row>
    <row r="12" spans="1:15">
      <c r="A12" s="64" t="s">
        <v>10</v>
      </c>
      <c r="B12" s="64">
        <v>1</v>
      </c>
      <c r="C12" s="64" t="s">
        <v>48</v>
      </c>
      <c r="D12" s="65" t="s">
        <v>102</v>
      </c>
      <c r="E12" s="64">
        <v>485</v>
      </c>
      <c r="F12" s="64">
        <v>10</v>
      </c>
      <c r="G12" s="54" t="s">
        <v>6</v>
      </c>
      <c r="H12" s="81">
        <v>62562.373200000002</v>
      </c>
      <c r="I12" s="66">
        <v>67162.518469809002</v>
      </c>
      <c r="J12" s="66">
        <v>70524.152782190999</v>
      </c>
      <c r="K12" s="66">
        <v>74058.127344000008</v>
      </c>
      <c r="L12" s="66">
        <v>77762.310282000006</v>
      </c>
      <c r="M12" s="66">
        <v>81637.767532808997</v>
      </c>
      <c r="N12" s="66">
        <v>85669.772832376082</v>
      </c>
      <c r="O12" s="66"/>
    </row>
    <row r="13" spans="1:15" ht="14.25" customHeight="1">
      <c r="A13" s="64" t="s">
        <v>78</v>
      </c>
      <c r="B13" s="64">
        <v>1</v>
      </c>
      <c r="C13" s="64" t="s">
        <v>48</v>
      </c>
      <c r="D13" s="65" t="s">
        <v>92</v>
      </c>
      <c r="E13" s="64"/>
      <c r="F13" s="64">
        <v>10</v>
      </c>
      <c r="G13" s="54" t="s">
        <v>6</v>
      </c>
      <c r="H13" s="81">
        <v>62562.373200000002</v>
      </c>
      <c r="I13" s="66">
        <v>67162.518469809002</v>
      </c>
      <c r="J13" s="66">
        <v>70524.152782190999</v>
      </c>
      <c r="K13" s="66">
        <v>74058.127344000008</v>
      </c>
      <c r="L13" s="66">
        <v>77762.310282000006</v>
      </c>
      <c r="M13" s="66">
        <v>81637.767532808997</v>
      </c>
      <c r="N13" s="66">
        <v>85669.772832376082</v>
      </c>
      <c r="O13" s="66"/>
    </row>
    <row r="14" spans="1:15">
      <c r="A14" s="64" t="s">
        <v>11</v>
      </c>
      <c r="B14" s="64">
        <v>2</v>
      </c>
      <c r="C14" s="64" t="s">
        <v>48</v>
      </c>
      <c r="D14" s="65" t="s">
        <v>103</v>
      </c>
      <c r="E14" s="64">
        <v>523</v>
      </c>
      <c r="F14" s="64">
        <v>11</v>
      </c>
      <c r="G14" s="54" t="s">
        <v>6</v>
      </c>
      <c r="H14" s="81">
        <v>69642.295199999993</v>
      </c>
      <c r="I14" s="66">
        <v>74768.750692190995</v>
      </c>
      <c r="J14" s="66">
        <v>78503.784091190988</v>
      </c>
      <c r="K14" s="66">
        <v>82434.558346190999</v>
      </c>
      <c r="L14" s="66">
        <v>86537.669659190986</v>
      </c>
      <c r="M14" s="66">
        <v>90869.500971000001</v>
      </c>
      <c r="N14" s="66">
        <v>95357.452081824304</v>
      </c>
      <c r="O14" s="66"/>
    </row>
    <row r="15" spans="1:15">
      <c r="A15" s="64" t="s">
        <v>16</v>
      </c>
      <c r="B15" s="64">
        <v>5</v>
      </c>
      <c r="C15" s="64" t="s">
        <v>48</v>
      </c>
      <c r="D15" s="65" t="s">
        <v>104</v>
      </c>
      <c r="E15" s="64">
        <v>625</v>
      </c>
      <c r="F15" s="64">
        <v>13</v>
      </c>
      <c r="G15" s="54" t="s">
        <v>6</v>
      </c>
      <c r="H15" s="81">
        <v>80844.282000000007</v>
      </c>
      <c r="I15" s="66">
        <v>86794.048691999997</v>
      </c>
      <c r="J15" s="66">
        <v>91124.814067190993</v>
      </c>
      <c r="K15" s="66">
        <v>95684.299441190989</v>
      </c>
      <c r="L15" s="66">
        <v>100471.441005</v>
      </c>
      <c r="M15" s="66">
        <v>105486.23663100001</v>
      </c>
      <c r="N15" s="66">
        <v>110696.09326943205</v>
      </c>
      <c r="O15" s="66"/>
    </row>
    <row r="16" spans="1:15">
      <c r="A16" s="64" t="s">
        <v>18</v>
      </c>
      <c r="B16" s="64">
        <v>5</v>
      </c>
      <c r="C16" s="64" t="s">
        <v>48</v>
      </c>
      <c r="D16" s="65" t="s">
        <v>105</v>
      </c>
      <c r="E16" s="64">
        <v>588</v>
      </c>
      <c r="F16" s="64">
        <v>13</v>
      </c>
      <c r="G16" s="54" t="s">
        <v>6</v>
      </c>
      <c r="H16" s="81">
        <v>80844.282000000007</v>
      </c>
      <c r="I16" s="66">
        <v>86794.048691999997</v>
      </c>
      <c r="J16" s="66">
        <v>91124.814067190993</v>
      </c>
      <c r="K16" s="66">
        <v>95684.299441190989</v>
      </c>
      <c r="L16" s="66">
        <v>100471.441005</v>
      </c>
      <c r="M16" s="66">
        <v>105486.23663100001</v>
      </c>
      <c r="N16" s="66">
        <v>110696.09326943205</v>
      </c>
      <c r="O16" s="66"/>
    </row>
    <row r="17" spans="1:15" ht="25.5">
      <c r="A17" s="64" t="s">
        <v>20</v>
      </c>
      <c r="B17" s="64">
        <v>5</v>
      </c>
      <c r="C17" s="64" t="s">
        <v>48</v>
      </c>
      <c r="D17" s="65" t="s">
        <v>106</v>
      </c>
      <c r="E17" s="64">
        <v>630</v>
      </c>
      <c r="F17" s="64">
        <v>13</v>
      </c>
      <c r="G17" s="54" t="s">
        <v>6</v>
      </c>
      <c r="H17" s="81">
        <v>80844.282000000007</v>
      </c>
      <c r="I17" s="66">
        <v>86794.048691999997</v>
      </c>
      <c r="J17" s="66">
        <v>91124.814067190993</v>
      </c>
      <c r="K17" s="66">
        <v>95684.299441190989</v>
      </c>
      <c r="L17" s="66">
        <v>100471.441005</v>
      </c>
      <c r="M17" s="66">
        <v>105486.23663100001</v>
      </c>
      <c r="N17" s="66">
        <v>110696.09326943205</v>
      </c>
      <c r="O17" s="66"/>
    </row>
    <row r="18" spans="1:15">
      <c r="A18" s="64"/>
      <c r="B18" s="64"/>
      <c r="C18" s="64"/>
      <c r="D18" s="65"/>
      <c r="E18" s="64"/>
      <c r="F18" s="64"/>
      <c r="H18" s="66"/>
      <c r="I18" s="66"/>
      <c r="J18" s="66"/>
      <c r="K18" s="66"/>
      <c r="L18" s="66"/>
      <c r="M18" s="66"/>
      <c r="N18" s="66"/>
      <c r="O18" s="67"/>
    </row>
    <row r="19" spans="1:15" ht="8.25" customHeight="1">
      <c r="A19" s="68"/>
      <c r="B19" s="69"/>
      <c r="C19" s="70"/>
      <c r="D19" s="69"/>
      <c r="E19" s="71"/>
      <c r="F19" s="71"/>
      <c r="G19" s="71"/>
      <c r="H19" s="71"/>
      <c r="I19" s="72"/>
      <c r="J19" s="70"/>
      <c r="K19" s="70"/>
    </row>
    <row r="20" spans="1:15" ht="13.15">
      <c r="A20" s="73" t="s">
        <v>67</v>
      </c>
    </row>
    <row r="21" spans="1:15">
      <c r="A21" s="75" t="s">
        <v>29</v>
      </c>
      <c r="B21" s="69"/>
      <c r="C21" s="70"/>
      <c r="D21" s="70"/>
      <c r="E21" s="70"/>
      <c r="F21" s="70"/>
      <c r="G21" s="70"/>
      <c r="H21" s="70"/>
      <c r="I21" s="70"/>
      <c r="J21" s="70"/>
      <c r="K21" s="70"/>
    </row>
    <row r="22" spans="1:15">
      <c r="A22" s="54" t="s">
        <v>30</v>
      </c>
    </row>
    <row r="23" spans="1:15">
      <c r="A23" s="54" t="s">
        <v>31</v>
      </c>
    </row>
    <row r="25" spans="1:15" ht="13.15">
      <c r="A25" s="73" t="s">
        <v>68</v>
      </c>
    </row>
    <row r="26" spans="1:15">
      <c r="A26" s="54" t="s">
        <v>33</v>
      </c>
    </row>
    <row r="27" spans="1:15">
      <c r="A27" s="70" t="s">
        <v>34</v>
      </c>
    </row>
    <row r="29" spans="1:15" ht="13.15">
      <c r="A29" s="55" t="s">
        <v>70</v>
      </c>
      <c r="B29" s="58"/>
      <c r="C29" s="55"/>
      <c r="D29" s="58"/>
      <c r="E29" s="58"/>
      <c r="F29" s="58"/>
      <c r="G29" s="58"/>
      <c r="H29" s="58"/>
    </row>
    <row r="30" spans="1:15" ht="13.15">
      <c r="A30" s="59" t="s">
        <v>75</v>
      </c>
      <c r="B30" s="58"/>
      <c r="C30" s="55"/>
      <c r="D30" s="58"/>
      <c r="E30" s="58"/>
      <c r="F30" s="58"/>
      <c r="G30" s="58"/>
      <c r="H30" s="58"/>
    </row>
    <row r="31" spans="1:15" ht="13.15">
      <c r="A31" s="66">
        <v>539.89551276480006</v>
      </c>
      <c r="B31" s="76" t="s">
        <v>24</v>
      </c>
      <c r="C31" s="55"/>
      <c r="D31" s="58"/>
      <c r="E31" s="58"/>
      <c r="F31" s="58"/>
      <c r="G31" s="58"/>
      <c r="H31" s="58"/>
    </row>
    <row r="32" spans="1:15" ht="13.15">
      <c r="A32" s="66">
        <v>757.39943099520019</v>
      </c>
      <c r="B32" s="76" t="s">
        <v>25</v>
      </c>
      <c r="C32" s="55"/>
      <c r="D32" s="58"/>
      <c r="E32" s="58"/>
      <c r="F32" s="58"/>
      <c r="G32" s="58"/>
      <c r="H32" s="58"/>
    </row>
    <row r="33" spans="1:8" ht="13.15">
      <c r="A33" s="66">
        <v>918.59522826240004</v>
      </c>
      <c r="B33" s="76" t="s">
        <v>26</v>
      </c>
      <c r="C33" s="55"/>
      <c r="D33" s="58"/>
      <c r="E33" s="58"/>
      <c r="F33" s="58"/>
      <c r="G33" s="58"/>
      <c r="H33" s="58"/>
    </row>
    <row r="34" spans="1:8">
      <c r="A34" s="66">
        <v>1083.1032679392001</v>
      </c>
      <c r="B34" s="76" t="s">
        <v>27</v>
      </c>
      <c r="C34" s="64"/>
      <c r="D34" s="65"/>
      <c r="E34" s="64"/>
      <c r="F34" s="64"/>
      <c r="H34" s="66"/>
    </row>
    <row r="35" spans="1:8">
      <c r="A35" s="64"/>
      <c r="B35" s="64"/>
      <c r="C35" s="64"/>
      <c r="D35" s="65"/>
      <c r="E35" s="64"/>
      <c r="F35" s="64"/>
      <c r="H35" s="66"/>
    </row>
  </sheetData>
  <mergeCells count="1">
    <mergeCell ref="A1:M1"/>
  </mergeCells>
  <pageMargins left="0.25" right="0.25" top="1" bottom="0.5" header="0.5" footer="0.5"/>
  <pageSetup scale="96" orientation="landscape"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O37"/>
  <sheetViews>
    <sheetView zoomScaleNormal="100" workbookViewId="0">
      <selection activeCell="N36" sqref="N36"/>
    </sheetView>
  </sheetViews>
  <sheetFormatPr defaultColWidth="9.265625" defaultRowHeight="12.75"/>
  <cols>
    <col min="1" max="1" width="9" style="54" customWidth="1"/>
    <col min="2" max="2" width="6.265625" style="74" customWidth="1"/>
    <col min="3" max="3" width="5.73046875" style="54" customWidth="1"/>
    <col min="4" max="4" width="28.73046875" style="54" customWidth="1"/>
    <col min="5" max="5" width="6.59765625" style="54" bestFit="1" customWidth="1"/>
    <col min="6" max="6" width="6.265625" style="54" customWidth="1"/>
    <col min="7" max="7" width="2.59765625" style="54" customWidth="1"/>
    <col min="8" max="8" width="10.265625" style="54" hidden="1" customWidth="1"/>
    <col min="9" max="9" width="11.73046875" style="54" customWidth="1"/>
    <col min="10" max="10" width="10.265625" style="54" customWidth="1"/>
    <col min="11" max="11" width="9.73046875" style="54" customWidth="1"/>
    <col min="12" max="13" width="10.59765625" style="54" customWidth="1"/>
    <col min="14" max="14" width="9.73046875" style="54" customWidth="1"/>
    <col min="15" max="16" width="9.265625" style="54" customWidth="1"/>
    <col min="17" max="16384" width="9.265625" style="54"/>
  </cols>
  <sheetData>
    <row r="1" spans="1:15" ht="20.65">
      <c r="A1" s="186" t="s">
        <v>0</v>
      </c>
      <c r="B1" s="186"/>
      <c r="C1" s="186"/>
      <c r="D1" s="186"/>
      <c r="E1" s="186"/>
      <c r="F1" s="186"/>
      <c r="G1" s="186"/>
      <c r="H1" s="186"/>
      <c r="I1" s="186"/>
      <c r="J1" s="186"/>
      <c r="K1" s="186"/>
      <c r="L1" s="186"/>
      <c r="M1" s="186"/>
    </row>
    <row r="2" spans="1:15" ht="13.15">
      <c r="A2" s="55"/>
      <c r="B2" s="56"/>
      <c r="C2" s="57"/>
      <c r="D2" s="56"/>
      <c r="E2" s="56"/>
      <c r="F2" s="58"/>
      <c r="G2" s="58"/>
      <c r="H2" s="58"/>
      <c r="I2" s="58"/>
      <c r="J2" s="58"/>
      <c r="K2" s="58"/>
      <c r="L2" s="58"/>
      <c r="M2" s="58"/>
    </row>
    <row r="3" spans="1:15" ht="13.15">
      <c r="A3" s="55" t="s">
        <v>1</v>
      </c>
      <c r="B3" s="58"/>
      <c r="C3" s="55"/>
      <c r="D3" s="58"/>
      <c r="E3" s="58"/>
      <c r="F3" s="58"/>
      <c r="G3" s="58"/>
      <c r="H3" s="58"/>
      <c r="I3" s="58"/>
      <c r="J3" s="58"/>
      <c r="K3" s="58"/>
      <c r="L3" s="58"/>
      <c r="M3" s="58"/>
    </row>
    <row r="4" spans="1:15" ht="13.15">
      <c r="A4" s="59" t="s">
        <v>111</v>
      </c>
      <c r="B4" s="58"/>
      <c r="C4" s="55"/>
      <c r="D4" s="58"/>
      <c r="E4" s="58"/>
      <c r="F4" s="58"/>
      <c r="G4" s="58"/>
      <c r="H4" s="58"/>
      <c r="I4" s="58"/>
      <c r="J4" s="58"/>
      <c r="K4" s="58"/>
      <c r="L4" s="58"/>
      <c r="M4" s="58"/>
    </row>
    <row r="5" spans="1:15" ht="13.15">
      <c r="A5" s="55"/>
      <c r="B5" s="55" t="s">
        <v>114</v>
      </c>
      <c r="C5" s="55"/>
      <c r="D5" s="58"/>
      <c r="E5" s="58"/>
      <c r="F5" s="58"/>
      <c r="G5" s="58"/>
      <c r="H5" s="58"/>
      <c r="I5" s="58"/>
      <c r="J5" s="58"/>
      <c r="K5" s="58"/>
      <c r="L5" s="58"/>
      <c r="M5" s="58"/>
    </row>
    <row r="6" spans="1:15" ht="13.15">
      <c r="A6" s="55"/>
      <c r="B6" s="55" t="s">
        <v>113</v>
      </c>
      <c r="C6" s="55"/>
      <c r="D6" s="58"/>
      <c r="E6" s="58"/>
      <c r="F6" s="58"/>
      <c r="G6" s="58"/>
      <c r="H6" s="58"/>
      <c r="I6" s="58"/>
      <c r="J6" s="58"/>
      <c r="K6" s="58"/>
      <c r="L6" s="58"/>
      <c r="M6" s="58"/>
    </row>
    <row r="7" spans="1:15" ht="13.15">
      <c r="A7" s="55"/>
      <c r="B7" s="55"/>
      <c r="C7" s="55"/>
      <c r="D7" s="58"/>
      <c r="E7" s="58"/>
      <c r="F7" s="58"/>
      <c r="G7" s="58"/>
      <c r="H7" s="58"/>
      <c r="I7" s="58"/>
      <c r="J7" s="58"/>
      <c r="K7" s="58"/>
      <c r="L7" s="58"/>
      <c r="M7" s="58"/>
    </row>
    <row r="8" spans="1:15" ht="26.65" thickBot="1">
      <c r="A8" s="61" t="s">
        <v>36</v>
      </c>
      <c r="B8" s="61" t="s">
        <v>37</v>
      </c>
      <c r="C8" s="61" t="s">
        <v>2</v>
      </c>
      <c r="D8" s="61" t="s">
        <v>38</v>
      </c>
      <c r="E8" s="61" t="s">
        <v>39</v>
      </c>
      <c r="F8" s="61" t="s">
        <v>40</v>
      </c>
      <c r="G8" s="62" t="s">
        <v>3</v>
      </c>
      <c r="H8" s="79"/>
      <c r="I8" s="63" t="s">
        <v>41</v>
      </c>
      <c r="J8" s="63" t="s">
        <v>42</v>
      </c>
      <c r="K8" s="63" t="s">
        <v>43</v>
      </c>
      <c r="L8" s="63" t="s">
        <v>44</v>
      </c>
      <c r="M8" s="63" t="s">
        <v>45</v>
      </c>
      <c r="N8" s="63" t="s">
        <v>46</v>
      </c>
      <c r="O8" s="80"/>
    </row>
    <row r="9" spans="1:15" ht="13.15" thickTop="1">
      <c r="A9" s="64" t="s">
        <v>7</v>
      </c>
      <c r="B9" s="64">
        <v>5</v>
      </c>
      <c r="C9" s="64" t="s">
        <v>48</v>
      </c>
      <c r="D9" s="65" t="s">
        <v>98</v>
      </c>
      <c r="E9" s="64">
        <v>610</v>
      </c>
      <c r="F9" s="64">
        <v>13</v>
      </c>
      <c r="G9" s="54" t="s">
        <v>6</v>
      </c>
      <c r="H9" s="81">
        <v>80844.282000000007</v>
      </c>
      <c r="I9" s="66">
        <v>86794.048691999997</v>
      </c>
      <c r="J9" s="66">
        <v>91124.814067190993</v>
      </c>
      <c r="K9" s="66">
        <v>95684.299441190989</v>
      </c>
      <c r="L9" s="66">
        <v>100471.441005</v>
      </c>
      <c r="M9" s="66">
        <v>105486.23663100001</v>
      </c>
      <c r="N9" s="66">
        <v>110696.09326943205</v>
      </c>
      <c r="O9" s="66"/>
    </row>
    <row r="10" spans="1:15">
      <c r="A10" s="64" t="s">
        <v>8</v>
      </c>
      <c r="B10" s="64">
        <v>13</v>
      </c>
      <c r="C10" s="64" t="s">
        <v>48</v>
      </c>
      <c r="D10" s="65" t="s">
        <v>99</v>
      </c>
      <c r="E10" s="64">
        <v>395</v>
      </c>
      <c r="F10" s="64">
        <v>8</v>
      </c>
      <c r="G10" s="54" t="s">
        <v>6</v>
      </c>
      <c r="H10" s="81">
        <v>44688.301200000002</v>
      </c>
      <c r="I10" s="66">
        <v>48372.457975191006</v>
      </c>
      <c r="J10" s="66">
        <v>51241.550848191</v>
      </c>
      <c r="K10" s="66">
        <v>54367.021690191003</v>
      </c>
      <c r="L10" s="66">
        <v>57393.559359000006</v>
      </c>
      <c r="M10" s="66">
        <v>61571.136238191</v>
      </c>
      <c r="N10" s="66">
        <v>64612.071274943235</v>
      </c>
      <c r="O10" s="66"/>
    </row>
    <row r="11" spans="1:15">
      <c r="A11" s="64" t="s">
        <v>12</v>
      </c>
      <c r="B11" s="64">
        <v>5</v>
      </c>
      <c r="C11" s="64" t="s">
        <v>48</v>
      </c>
      <c r="D11" s="65" t="s">
        <v>51</v>
      </c>
      <c r="E11" s="64">
        <v>600</v>
      </c>
      <c r="F11" s="64">
        <v>13</v>
      </c>
      <c r="G11" s="54" t="s">
        <v>6</v>
      </c>
      <c r="H11" s="81">
        <v>80844.282000000007</v>
      </c>
      <c r="I11" s="66">
        <v>86794.048691999997</v>
      </c>
      <c r="J11" s="66">
        <v>91124.814067190993</v>
      </c>
      <c r="K11" s="66">
        <v>95684.299441190989</v>
      </c>
      <c r="L11" s="66">
        <v>100471.441005</v>
      </c>
      <c r="M11" s="66">
        <v>105486.23663100001</v>
      </c>
      <c r="N11" s="66">
        <v>110696.09326943205</v>
      </c>
      <c r="O11" s="66"/>
    </row>
    <row r="12" spans="1:15">
      <c r="A12" s="64" t="s">
        <v>13</v>
      </c>
      <c r="B12" s="64">
        <v>1</v>
      </c>
      <c r="C12" s="64" t="s">
        <v>48</v>
      </c>
      <c r="D12" s="65" t="s">
        <v>100</v>
      </c>
      <c r="E12" s="64">
        <v>470</v>
      </c>
      <c r="F12" s="64">
        <v>10</v>
      </c>
      <c r="G12" s="54" t="s">
        <v>6</v>
      </c>
      <c r="H12" s="81">
        <v>62562.373200000002</v>
      </c>
      <c r="I12" s="66">
        <v>67162.518469809002</v>
      </c>
      <c r="J12" s="66">
        <v>70524.152782190999</v>
      </c>
      <c r="K12" s="66">
        <v>74058.127344000008</v>
      </c>
      <c r="L12" s="66">
        <v>77762.310282000006</v>
      </c>
      <c r="M12" s="66">
        <v>81637.767532808997</v>
      </c>
      <c r="N12" s="66">
        <v>85669.772832376082</v>
      </c>
      <c r="O12" s="66"/>
    </row>
    <row r="13" spans="1:15">
      <c r="A13" s="64" t="s">
        <v>9</v>
      </c>
      <c r="B13" s="64">
        <v>4</v>
      </c>
      <c r="C13" s="64" t="s">
        <v>48</v>
      </c>
      <c r="D13" s="65" t="s">
        <v>101</v>
      </c>
      <c r="E13" s="64">
        <v>578</v>
      </c>
      <c r="F13" s="64">
        <v>12</v>
      </c>
      <c r="G13" s="54" t="s">
        <v>6</v>
      </c>
      <c r="H13" s="81">
        <v>76608.812559600003</v>
      </c>
      <c r="I13" s="66">
        <v>82234.563318</v>
      </c>
      <c r="J13" s="66">
        <v>86338.738440000001</v>
      </c>
      <c r="K13" s="66">
        <v>90669.503815191012</v>
      </c>
      <c r="L13" s="66">
        <v>95200.266346190983</v>
      </c>
      <c r="M13" s="66">
        <v>99957.620194190997</v>
      </c>
      <c r="N13" s="66">
        <v>104894.42415803185</v>
      </c>
      <c r="O13" s="66"/>
    </row>
    <row r="14" spans="1:15">
      <c r="A14" s="64" t="s">
        <v>10</v>
      </c>
      <c r="B14" s="64">
        <v>1</v>
      </c>
      <c r="C14" s="64" t="s">
        <v>48</v>
      </c>
      <c r="D14" s="65" t="s">
        <v>102</v>
      </c>
      <c r="E14" s="64">
        <v>485</v>
      </c>
      <c r="F14" s="64">
        <v>10</v>
      </c>
      <c r="G14" s="54" t="s">
        <v>6</v>
      </c>
      <c r="H14" s="81">
        <v>62562.373200000002</v>
      </c>
      <c r="I14" s="66">
        <v>67162.518469809002</v>
      </c>
      <c r="J14" s="66">
        <v>70524.152782190999</v>
      </c>
      <c r="K14" s="66">
        <v>74058.127344000008</v>
      </c>
      <c r="L14" s="66">
        <v>77762.310282000006</v>
      </c>
      <c r="M14" s="66">
        <v>81637.767532808997</v>
      </c>
      <c r="N14" s="66">
        <v>85669.772832376082</v>
      </c>
      <c r="O14" s="66"/>
    </row>
    <row r="15" spans="1:15" ht="14.25" customHeight="1">
      <c r="A15" s="64" t="s">
        <v>78</v>
      </c>
      <c r="B15" s="64">
        <v>1</v>
      </c>
      <c r="C15" s="64" t="s">
        <v>48</v>
      </c>
      <c r="D15" s="65" t="s">
        <v>92</v>
      </c>
      <c r="E15" s="64"/>
      <c r="F15" s="64">
        <v>10</v>
      </c>
      <c r="G15" s="54" t="s">
        <v>6</v>
      </c>
      <c r="H15" s="81">
        <v>62562.373200000002</v>
      </c>
      <c r="I15" s="66">
        <v>67162.518469809002</v>
      </c>
      <c r="J15" s="66">
        <v>70524.152782190999</v>
      </c>
      <c r="K15" s="66">
        <v>74058.127344000008</v>
      </c>
      <c r="L15" s="66">
        <v>77762.310282000006</v>
      </c>
      <c r="M15" s="66">
        <v>81637.767532808997</v>
      </c>
      <c r="N15" s="66">
        <v>85669.772832376082</v>
      </c>
      <c r="O15" s="66"/>
    </row>
    <row r="16" spans="1:15">
      <c r="A16" s="64" t="s">
        <v>11</v>
      </c>
      <c r="B16" s="64">
        <v>2</v>
      </c>
      <c r="C16" s="64" t="s">
        <v>48</v>
      </c>
      <c r="D16" s="65" t="s">
        <v>103</v>
      </c>
      <c r="E16" s="64">
        <v>523</v>
      </c>
      <c r="F16" s="64">
        <v>11</v>
      </c>
      <c r="G16" s="54" t="s">
        <v>6</v>
      </c>
      <c r="H16" s="81">
        <v>69642.295199999993</v>
      </c>
      <c r="I16" s="66">
        <v>74768.750692190995</v>
      </c>
      <c r="J16" s="66">
        <v>78503.784091190988</v>
      </c>
      <c r="K16" s="66">
        <v>82434.558346190999</v>
      </c>
      <c r="L16" s="66">
        <v>86537.669659190986</v>
      </c>
      <c r="M16" s="66">
        <v>90869.500971000001</v>
      </c>
      <c r="N16" s="66">
        <v>95357.452081824304</v>
      </c>
      <c r="O16" s="66"/>
    </row>
    <row r="17" spans="1:15">
      <c r="A17" s="64" t="s">
        <v>16</v>
      </c>
      <c r="B17" s="64">
        <v>5</v>
      </c>
      <c r="C17" s="64" t="s">
        <v>48</v>
      </c>
      <c r="D17" s="65" t="s">
        <v>104</v>
      </c>
      <c r="E17" s="64">
        <v>625</v>
      </c>
      <c r="F17" s="64">
        <v>13</v>
      </c>
      <c r="G17" s="54" t="s">
        <v>6</v>
      </c>
      <c r="H17" s="81">
        <v>80844.282000000007</v>
      </c>
      <c r="I17" s="66">
        <v>86794.048691999997</v>
      </c>
      <c r="J17" s="66">
        <v>91124.814067190993</v>
      </c>
      <c r="K17" s="66">
        <v>95684.299441190989</v>
      </c>
      <c r="L17" s="66">
        <v>100471.441005</v>
      </c>
      <c r="M17" s="66">
        <v>105486.23663100001</v>
      </c>
      <c r="N17" s="66">
        <v>110696.09326943205</v>
      </c>
      <c r="O17" s="66"/>
    </row>
    <row r="18" spans="1:15">
      <c r="A18" s="64" t="s">
        <v>18</v>
      </c>
      <c r="B18" s="64">
        <v>5</v>
      </c>
      <c r="C18" s="64" t="s">
        <v>48</v>
      </c>
      <c r="D18" s="65" t="s">
        <v>105</v>
      </c>
      <c r="E18" s="64">
        <v>588</v>
      </c>
      <c r="F18" s="64">
        <v>13</v>
      </c>
      <c r="G18" s="54" t="s">
        <v>6</v>
      </c>
      <c r="H18" s="81">
        <v>80844.282000000007</v>
      </c>
      <c r="I18" s="66">
        <v>86794.048691999997</v>
      </c>
      <c r="J18" s="66">
        <v>91124.814067190993</v>
      </c>
      <c r="K18" s="66">
        <v>95684.299441190989</v>
      </c>
      <c r="L18" s="66">
        <v>100471.441005</v>
      </c>
      <c r="M18" s="66">
        <v>105486.23663100001</v>
      </c>
      <c r="N18" s="66">
        <v>110696.09326943205</v>
      </c>
      <c r="O18" s="66"/>
    </row>
    <row r="19" spans="1:15">
      <c r="A19" s="64" t="s">
        <v>20</v>
      </c>
      <c r="B19" s="64">
        <v>5</v>
      </c>
      <c r="C19" s="64" t="s">
        <v>48</v>
      </c>
      <c r="D19" s="65" t="s">
        <v>126</v>
      </c>
      <c r="E19" s="64">
        <v>605</v>
      </c>
      <c r="F19" s="64">
        <v>13</v>
      </c>
      <c r="G19" s="54" t="s">
        <v>6</v>
      </c>
      <c r="H19" s="81">
        <v>80844.282000000007</v>
      </c>
      <c r="I19" s="66">
        <v>86794.048691999997</v>
      </c>
      <c r="J19" s="66">
        <v>91124.814067190993</v>
      </c>
      <c r="K19" s="66">
        <v>95684.299441190989</v>
      </c>
      <c r="L19" s="66">
        <v>100471.441005</v>
      </c>
      <c r="M19" s="66">
        <v>105486.23663100001</v>
      </c>
      <c r="N19" s="66">
        <v>110696.09326943205</v>
      </c>
      <c r="O19" s="66"/>
    </row>
    <row r="20" spans="1:15">
      <c r="A20" s="64"/>
      <c r="B20" s="64"/>
      <c r="C20" s="64"/>
      <c r="D20" s="65"/>
      <c r="E20" s="64"/>
      <c r="F20" s="64"/>
      <c r="H20" s="66"/>
      <c r="I20" s="66"/>
      <c r="J20" s="66"/>
      <c r="K20" s="66"/>
      <c r="L20" s="66"/>
      <c r="M20" s="66"/>
      <c r="N20" s="66"/>
      <c r="O20" s="67"/>
    </row>
    <row r="21" spans="1:15" ht="8.25" customHeight="1">
      <c r="A21" s="68"/>
      <c r="B21" s="69"/>
      <c r="C21" s="70"/>
      <c r="D21" s="69"/>
      <c r="E21" s="71"/>
      <c r="F21" s="71"/>
      <c r="G21" s="71"/>
      <c r="H21" s="71"/>
      <c r="I21" s="72"/>
      <c r="J21" s="70"/>
      <c r="K21" s="70"/>
    </row>
    <row r="22" spans="1:15" ht="13.15">
      <c r="A22" s="73" t="s">
        <v>67</v>
      </c>
    </row>
    <row r="23" spans="1:15">
      <c r="A23" s="75" t="s">
        <v>29</v>
      </c>
      <c r="B23" s="69"/>
      <c r="C23" s="70"/>
      <c r="D23" s="70"/>
      <c r="E23" s="70"/>
      <c r="F23" s="70"/>
      <c r="G23" s="70"/>
      <c r="H23" s="70"/>
      <c r="I23" s="70"/>
      <c r="J23" s="70"/>
      <c r="K23" s="70"/>
    </row>
    <row r="24" spans="1:15">
      <c r="A24" s="54" t="s">
        <v>30</v>
      </c>
    </row>
    <row r="25" spans="1:15">
      <c r="A25" s="54" t="s">
        <v>31</v>
      </c>
    </row>
    <row r="27" spans="1:15" ht="13.15">
      <c r="A27" s="73" t="s">
        <v>68</v>
      </c>
    </row>
    <row r="28" spans="1:15">
      <c r="A28" s="54" t="s">
        <v>33</v>
      </c>
    </row>
    <row r="29" spans="1:15">
      <c r="A29" s="70" t="s">
        <v>34</v>
      </c>
    </row>
    <row r="31" spans="1:15" ht="13.15">
      <c r="A31" s="55" t="s">
        <v>70</v>
      </c>
      <c r="B31" s="58"/>
      <c r="C31" s="55"/>
      <c r="D31" s="58"/>
      <c r="E31" s="58"/>
      <c r="F31" s="58"/>
      <c r="G31" s="58"/>
      <c r="H31" s="58"/>
    </row>
    <row r="32" spans="1:15" ht="13.15">
      <c r="A32" s="59" t="s">
        <v>75</v>
      </c>
      <c r="B32" s="58"/>
      <c r="C32" s="55"/>
      <c r="D32" s="58"/>
      <c r="E32" s="58"/>
      <c r="F32" s="58"/>
      <c r="G32" s="58"/>
      <c r="H32" s="58"/>
    </row>
    <row r="33" spans="1:8" ht="13.15">
      <c r="A33" s="66">
        <v>539.89551276480006</v>
      </c>
      <c r="B33" s="76" t="s">
        <v>24</v>
      </c>
      <c r="C33" s="55"/>
      <c r="D33" s="58"/>
      <c r="E33" s="58"/>
      <c r="F33" s="58"/>
      <c r="G33" s="58"/>
      <c r="H33" s="58"/>
    </row>
    <row r="34" spans="1:8" ht="13.15">
      <c r="A34" s="66">
        <v>757.39943099520019</v>
      </c>
      <c r="B34" s="76" t="s">
        <v>25</v>
      </c>
      <c r="C34" s="55"/>
      <c r="D34" s="58"/>
      <c r="E34" s="58"/>
      <c r="F34" s="58"/>
      <c r="G34" s="58"/>
      <c r="H34" s="58"/>
    </row>
    <row r="35" spans="1:8" ht="13.15">
      <c r="A35" s="66">
        <v>918.59522826240004</v>
      </c>
      <c r="B35" s="76" t="s">
        <v>26</v>
      </c>
      <c r="C35" s="55"/>
      <c r="D35" s="58"/>
      <c r="E35" s="58"/>
      <c r="F35" s="58"/>
      <c r="G35" s="58"/>
      <c r="H35" s="58"/>
    </row>
    <row r="36" spans="1:8">
      <c r="A36" s="66">
        <v>1083.1032679392001</v>
      </c>
      <c r="B36" s="76" t="s">
        <v>27</v>
      </c>
      <c r="C36" s="64"/>
      <c r="D36" s="65"/>
      <c r="E36" s="64"/>
      <c r="F36" s="64"/>
      <c r="H36" s="66"/>
    </row>
    <row r="37" spans="1:8">
      <c r="A37" s="64"/>
      <c r="B37" s="64"/>
      <c r="C37" s="64"/>
      <c r="D37" s="65"/>
      <c r="E37" s="64"/>
      <c r="F37" s="64"/>
      <c r="H37" s="66"/>
    </row>
  </sheetData>
  <mergeCells count="1">
    <mergeCell ref="A1:M1"/>
  </mergeCells>
  <pageMargins left="0.25" right="0.25" top="1" bottom="0.5" header="0.5" footer="0.5"/>
  <pageSetup scale="96" orientation="landscape"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42</vt:i4>
      </vt:variant>
    </vt:vector>
  </HeadingPairs>
  <TitlesOfParts>
    <vt:vector size="70" baseType="lpstr">
      <vt:lpstr>2006 Salary Schedule</vt:lpstr>
      <vt:lpstr>2007 Salary Schedule w form</vt:lpstr>
      <vt:lpstr>2007 Salary Schedule</vt:lpstr>
      <vt:lpstr>CEN</vt:lpstr>
      <vt:lpstr>Jan 1 &amp; April 1 2008</vt:lpstr>
      <vt:lpstr>Jan &amp; April 1 2009</vt:lpstr>
      <vt:lpstr>January &amp; April 1 2010</vt:lpstr>
      <vt:lpstr>January 1, 2011</vt:lpstr>
      <vt:lpstr>January 1, 2012</vt:lpstr>
      <vt:lpstr>1 1 2013 calc BASE Keep</vt:lpstr>
      <vt:lpstr>January 1, 2013 2.11</vt:lpstr>
      <vt:lpstr>January 1 2015</vt:lpstr>
      <vt:lpstr>March 1, 2015</vt:lpstr>
      <vt:lpstr>March 1, 2016</vt:lpstr>
      <vt:lpstr>January 1 2017</vt:lpstr>
      <vt:lpstr>March 1 2018</vt:lpstr>
      <vt:lpstr>January 1 2019</vt:lpstr>
      <vt:lpstr>March 1 2019</vt:lpstr>
      <vt:lpstr>Feb 1 2020</vt:lpstr>
      <vt:lpstr>Feb 1 2021</vt:lpstr>
      <vt:lpstr>1-1-2022</vt:lpstr>
      <vt:lpstr>1-1-2023</vt:lpstr>
      <vt:lpstr>1-1-2024</vt:lpstr>
      <vt:lpstr>1-1-2025</vt:lpstr>
      <vt:lpstr>1-1-2026</vt:lpstr>
      <vt:lpstr>1-1-2027</vt:lpstr>
      <vt:lpstr>1-1-2028</vt:lpstr>
      <vt:lpstr>Notes</vt:lpstr>
      <vt:lpstr>Data2025</vt:lpstr>
      <vt:lpstr>Data2026</vt:lpstr>
      <vt:lpstr>Data2027</vt:lpstr>
      <vt:lpstr>IncrPerc2020</vt:lpstr>
      <vt:lpstr>IncrPerc2021</vt:lpstr>
      <vt:lpstr>IncrPerc2022</vt:lpstr>
      <vt:lpstr>IncrPerc2023</vt:lpstr>
      <vt:lpstr>IncrPerc2024</vt:lpstr>
      <vt:lpstr>'1-1-2026'!IncrPerc2025</vt:lpstr>
      <vt:lpstr>'1-1-2027'!IncrPerc2025</vt:lpstr>
      <vt:lpstr>'1-1-2028'!IncrPerc2025</vt:lpstr>
      <vt:lpstr>IncrPerc2025</vt:lpstr>
      <vt:lpstr>'1-1-2027'!IncrPerc2026</vt:lpstr>
      <vt:lpstr>'1-1-2028'!IncrPerc2026</vt:lpstr>
      <vt:lpstr>IncrPerc2026</vt:lpstr>
      <vt:lpstr>IncrPerc2027</vt:lpstr>
      <vt:lpstr>IncrPerc2028</vt:lpstr>
      <vt:lpstr>PayRates2021</vt:lpstr>
      <vt:lpstr>PayRates2022</vt:lpstr>
      <vt:lpstr>PayRates2023</vt:lpstr>
      <vt:lpstr>PayRates2024</vt:lpstr>
      <vt:lpstr>'1 1 2013 calc BASE Keep'!Print_Area</vt:lpstr>
      <vt:lpstr>'2006 Salary Schedule'!Print_Area</vt:lpstr>
      <vt:lpstr>'2007 Salary Schedule'!Print_Area</vt:lpstr>
      <vt:lpstr>'2007 Salary Schedule w form'!Print_Area</vt:lpstr>
      <vt:lpstr>'Jan &amp; April 1 2009'!Print_Area</vt:lpstr>
      <vt:lpstr>'Jan 1 &amp; April 1 2008'!Print_Area</vt:lpstr>
      <vt:lpstr>'January &amp; April 1 2010'!Print_Area</vt:lpstr>
      <vt:lpstr>'January 1 2015'!Print_Area</vt:lpstr>
      <vt:lpstr>'January 1 2017'!Print_Area</vt:lpstr>
      <vt:lpstr>'January 1 2019'!Print_Area</vt:lpstr>
      <vt:lpstr>'January 1, 2011'!Print_Area</vt:lpstr>
      <vt:lpstr>'January 1, 2012'!Print_Area</vt:lpstr>
      <vt:lpstr>'January 1, 2013 2.11'!Print_Area</vt:lpstr>
      <vt:lpstr>'March 1 2018'!Print_Area</vt:lpstr>
      <vt:lpstr>'March 1 2019'!Print_Area</vt:lpstr>
      <vt:lpstr>'March 1, 2015'!Print_Area</vt:lpstr>
      <vt:lpstr>'March 1, 2016'!Print_Area</vt:lpstr>
      <vt:lpstr>Range2019</vt:lpstr>
      <vt:lpstr>Range2020</vt:lpstr>
      <vt:lpstr>'1-1-2022'!Range2021</vt:lpstr>
      <vt:lpstr>Range2021</vt:lpstr>
    </vt:vector>
  </TitlesOfParts>
  <Company>City of Minneapolis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Public Works Engineers Association CEN Salary Schedule. From 2022-2025. Posted 08-29-2023</dc:title>
  <dc:creator>City of Minneapolis Human Resources, Classification and Compensation;Howatt, Erick S</dc:creator>
  <cp:lastModifiedBy>Kern, Dugan</cp:lastModifiedBy>
  <cp:lastPrinted>2019-08-30T19:18:01Z</cp:lastPrinted>
  <dcterms:created xsi:type="dcterms:W3CDTF">2006-11-14T19:11:38Z</dcterms:created>
  <dcterms:modified xsi:type="dcterms:W3CDTF">2026-05-04T15:24:36Z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