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VT) 320 Conv Center\Salary Schedules\"/>
    </mc:Choice>
  </mc:AlternateContent>
  <xr:revisionPtr revIDLastSave="0" documentId="13_ncr:1_{78FE0A11-2BDA-4CDF-B377-AE8CA8E21979}" xr6:coauthVersionLast="47" xr6:coauthVersionMax="47" xr10:uidLastSave="{00000000-0000-0000-0000-000000000000}"/>
  <bookViews>
    <workbookView xWindow="-23148" yWindow="-108" windowWidth="23256" windowHeight="12456" firstSheet="11" activeTab="12" xr2:uid="{00000000-000D-0000-FFFF-FFFF00000000}"/>
  </bookViews>
  <sheets>
    <sheet name="January 2017" sheetId="1" state="hidden" r:id="rId1"/>
    <sheet name="Proof sal grd etc" sheetId="6" state="hidden" r:id="rId2"/>
    <sheet name="January 2018" sheetId="2" state="hidden" r:id="rId3"/>
    <sheet name="May 2018" sheetId="3" state="hidden" r:id="rId4"/>
    <sheet name="September 30 2018" sheetId="4" state="hidden" r:id="rId5"/>
    <sheet name="May 1 2019" sheetId="5" state="hidden" r:id="rId6"/>
    <sheet name="June 1 2020" sheetId="7" state="hidden" r:id="rId7"/>
    <sheet name="June 1 2021" sheetId="8" state="hidden" r:id="rId8"/>
    <sheet name="1-1-2022" sheetId="10" state="hidden" r:id="rId9"/>
    <sheet name="1-1-2023" sheetId="11" state="hidden" r:id="rId10"/>
    <sheet name="1-1-2024" sheetId="12" state="hidden" r:id="rId11"/>
    <sheet name="1-1-2025" sheetId="13" r:id="rId12"/>
    <sheet name="1-1-2026" sheetId="15" r:id="rId13"/>
    <sheet name="1-1-2027" sheetId="16" r:id="rId14"/>
    <sheet name="Notes" sheetId="9" state="hidden" r:id="rId15"/>
  </sheets>
  <definedNames>
    <definedName name="Data2021">'June 1 2021'!$Q$5:$Z$25</definedName>
    <definedName name="Data2022">'1-1-2022'!$Q$7:$Z$26</definedName>
    <definedName name="Data2023">'1-1-2023'!$Q$7:$Z$26</definedName>
    <definedName name="Data2024">'1-1-2024'!$Q$7:$Z$26</definedName>
    <definedName name="Data2025">'1-1-2025'!$Q$7:$Z$26</definedName>
    <definedName name="Data2026">'1-1-2026'!$Q$7:$Z$25</definedName>
    <definedName name="PercIncr2020">'June 1 2020'!$Q$1</definedName>
    <definedName name="PercIncr2021">'June 1 2021'!$Q$1</definedName>
    <definedName name="PercIncr2022">'1-1-2022'!$Q$2</definedName>
    <definedName name="PercIncr2023">'1-1-2023'!$Q$2</definedName>
    <definedName name="PercIncr2024">'1-1-2024'!$Q$2</definedName>
    <definedName name="PercIncr2025">'1-1-2025'!$Q$2</definedName>
    <definedName name="PercIncr2026">'1-1-2026'!$Q$2</definedName>
    <definedName name="PercIncr2027">'1-1-2027'!$Q$2</definedName>
    <definedName name="_xlnm.Print_Area" localSheetId="2">'January 2018'!$A$1:$N$25</definedName>
    <definedName name="_xlnm.Print_Area" localSheetId="3">'May 2018'!$A$1:$O$25</definedName>
    <definedName name="_xlnm.Print_Area" localSheetId="4">'September 30 2018'!$A$1:$O$25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25" i="16" l="1"/>
  <c r="AB25" i="16"/>
  <c r="AC24" i="16"/>
  <c r="AB24" i="16"/>
  <c r="AC20" i="16"/>
  <c r="AB20" i="16"/>
  <c r="AC19" i="16"/>
  <c r="AB19" i="16"/>
  <c r="AC18" i="16"/>
  <c r="AB18" i="16"/>
  <c r="AC17" i="16"/>
  <c r="AB17" i="16"/>
  <c r="AC12" i="16"/>
  <c r="AB12" i="16"/>
  <c r="AD9" i="16"/>
  <c r="AC9" i="16"/>
  <c r="AB9" i="16"/>
  <c r="S9" i="16"/>
  <c r="Q9" i="16"/>
  <c r="AD8" i="16"/>
  <c r="AC8" i="16"/>
  <c r="AB8" i="16"/>
  <c r="S8" i="16"/>
  <c r="Q8" i="16"/>
  <c r="V6" i="16"/>
  <c r="W6" i="16" s="1"/>
  <c r="X6" i="16" s="1"/>
  <c r="Y6" i="16" s="1"/>
  <c r="Z6" i="16" s="1"/>
  <c r="U6" i="16"/>
  <c r="AC25" i="15"/>
  <c r="AB25" i="15"/>
  <c r="AC24" i="15"/>
  <c r="AB24" i="15"/>
  <c r="AC20" i="15"/>
  <c r="AB20" i="15"/>
  <c r="AC19" i="15"/>
  <c r="AB19" i="15"/>
  <c r="AC18" i="15"/>
  <c r="AB18" i="15"/>
  <c r="AC17" i="15"/>
  <c r="AB17" i="15"/>
  <c r="AC12" i="15"/>
  <c r="AB12" i="15"/>
  <c r="AD9" i="15"/>
  <c r="AC9" i="15"/>
  <c r="AB9" i="15"/>
  <c r="S9" i="15"/>
  <c r="Q9" i="15"/>
  <c r="AD8" i="15"/>
  <c r="AC8" i="15"/>
  <c r="AB8" i="15"/>
  <c r="S8" i="15"/>
  <c r="Q8" i="15"/>
  <c r="U6" i="15"/>
  <c r="V6" i="15" s="1"/>
  <c r="W6" i="15" s="1"/>
  <c r="X6" i="15" s="1"/>
  <c r="Y6" i="15" s="1"/>
  <c r="Z6" i="15" s="1"/>
  <c r="Q2" i="13"/>
  <c r="AC26" i="13"/>
  <c r="AB26" i="13"/>
  <c r="AC25" i="13"/>
  <c r="AB25" i="13"/>
  <c r="AC21" i="13"/>
  <c r="AB21" i="13"/>
  <c r="AC20" i="13"/>
  <c r="AB20" i="13"/>
  <c r="AC19" i="13"/>
  <c r="AB19" i="13"/>
  <c r="AC18" i="13"/>
  <c r="AB18" i="13"/>
  <c r="AC13" i="13"/>
  <c r="AB13" i="13"/>
  <c r="AD10" i="13"/>
  <c r="AC10" i="13"/>
  <c r="AB10" i="13"/>
  <c r="S10" i="13"/>
  <c r="Q10" i="13"/>
  <c r="AD9" i="13"/>
  <c r="AC9" i="13"/>
  <c r="AB9" i="13"/>
  <c r="S9" i="13"/>
  <c r="Q9" i="13"/>
  <c r="AD8" i="13"/>
  <c r="AC8" i="13"/>
  <c r="AB8" i="13"/>
  <c r="S8" i="13"/>
  <c r="Q8" i="13"/>
  <c r="U6" i="13"/>
  <c r="V6" i="13" s="1"/>
  <c r="W6" i="13" s="1"/>
  <c r="X6" i="13" s="1"/>
  <c r="Y6" i="13" s="1"/>
  <c r="Z6" i="13" s="1"/>
  <c r="AC26" i="12"/>
  <c r="AB26" i="12"/>
  <c r="AC25" i="12"/>
  <c r="AB25" i="12"/>
  <c r="AC21" i="12"/>
  <c r="AB21" i="12"/>
  <c r="AC20" i="12"/>
  <c r="AB20" i="12"/>
  <c r="AC19" i="12"/>
  <c r="AB19" i="12"/>
  <c r="AC18" i="12"/>
  <c r="AB18" i="12"/>
  <c r="AC13" i="12"/>
  <c r="AB13" i="12"/>
  <c r="AD10" i="12"/>
  <c r="AC10" i="12"/>
  <c r="AB10" i="12"/>
  <c r="S10" i="12"/>
  <c r="Q10" i="12"/>
  <c r="AD9" i="12"/>
  <c r="AC9" i="12"/>
  <c r="AB9" i="12"/>
  <c r="S9" i="12"/>
  <c r="Q9" i="12"/>
  <c r="AD8" i="12"/>
  <c r="AC8" i="12"/>
  <c r="AB8" i="12"/>
  <c r="S8" i="12"/>
  <c r="Q8" i="12"/>
  <c r="U6" i="12"/>
  <c r="V6" i="12" s="1"/>
  <c r="W6" i="12" s="1"/>
  <c r="X6" i="12" s="1"/>
  <c r="Y6" i="12" s="1"/>
  <c r="Z6" i="12" s="1"/>
  <c r="AC26" i="11"/>
  <c r="AB26" i="11"/>
  <c r="AC25" i="11"/>
  <c r="AB25" i="11"/>
  <c r="AC21" i="11"/>
  <c r="AB21" i="11"/>
  <c r="AC20" i="11"/>
  <c r="AB20" i="11"/>
  <c r="AC19" i="11"/>
  <c r="AB19" i="11"/>
  <c r="AC18" i="11"/>
  <c r="AB18" i="11"/>
  <c r="AC13" i="11"/>
  <c r="AB13" i="11"/>
  <c r="AD10" i="11"/>
  <c r="AC10" i="11"/>
  <c r="AB10" i="11"/>
  <c r="S10" i="11"/>
  <c r="Q10" i="11"/>
  <c r="AD9" i="11"/>
  <c r="AC9" i="11"/>
  <c r="AB9" i="11"/>
  <c r="S9" i="11"/>
  <c r="Q9" i="11"/>
  <c r="AD8" i="11"/>
  <c r="AC8" i="11"/>
  <c r="AB8" i="11"/>
  <c r="S8" i="11"/>
  <c r="Q8" i="11"/>
  <c r="U6" i="11"/>
  <c r="V6" i="11" s="1"/>
  <c r="W6" i="11" s="1"/>
  <c r="X6" i="11" s="1"/>
  <c r="Y6" i="11" s="1"/>
  <c r="Z6" i="11" s="1"/>
  <c r="U6" i="10"/>
  <c r="V6" i="10" s="1"/>
  <c r="W6" i="10" s="1"/>
  <c r="X6" i="10" s="1"/>
  <c r="Y6" i="10" s="1"/>
  <c r="Z6" i="10" s="1"/>
  <c r="AC26" i="10"/>
  <c r="AB26" i="10"/>
  <c r="AC25" i="10"/>
  <c r="AB25" i="10"/>
  <c r="AC21" i="10"/>
  <c r="AB21" i="10"/>
  <c r="AC20" i="10"/>
  <c r="AB20" i="10"/>
  <c r="AC19" i="10"/>
  <c r="AB19" i="10"/>
  <c r="AC18" i="10"/>
  <c r="AB18" i="10"/>
  <c r="AC13" i="10"/>
  <c r="AB13" i="10"/>
  <c r="AD10" i="10"/>
  <c r="AC10" i="10"/>
  <c r="AB10" i="10"/>
  <c r="S10" i="10"/>
  <c r="Q10" i="10"/>
  <c r="AD9" i="10"/>
  <c r="AC9" i="10"/>
  <c r="AB9" i="10"/>
  <c r="S9" i="10"/>
  <c r="Q9" i="10"/>
  <c r="AD8" i="10"/>
  <c r="AC8" i="10"/>
  <c r="AB8" i="10"/>
  <c r="S8" i="10"/>
  <c r="Q8" i="10"/>
  <c r="AC25" i="8"/>
  <c r="AB25" i="8"/>
  <c r="AC24" i="8"/>
  <c r="AB24" i="8"/>
  <c r="AC20" i="8"/>
  <c r="AC19" i="8"/>
  <c r="AC18" i="8"/>
  <c r="AC17" i="8"/>
  <c r="AC11" i="8"/>
  <c r="AB18" i="8"/>
  <c r="AB19" i="8"/>
  <c r="AB20" i="8"/>
  <c r="AB17" i="8"/>
  <c r="AB11" i="8"/>
  <c r="AB7" i="8"/>
  <c r="AC7" i="8"/>
  <c r="AD7" i="8"/>
  <c r="AB8" i="8"/>
  <c r="AC8" i="8"/>
  <c r="AD8" i="8"/>
  <c r="AD6" i="8"/>
  <c r="AC6" i="8"/>
  <c r="AB6" i="8"/>
  <c r="Q7" i="8"/>
  <c r="S7" i="8"/>
  <c r="Q8" i="8"/>
  <c r="S8" i="8"/>
  <c r="S6" i="8"/>
  <c r="Q6" i="8"/>
  <c r="A18" i="7"/>
  <c r="T24" i="8"/>
  <c r="A24" i="8" s="1"/>
  <c r="T9" i="16" a="1"/>
  <c r="Y9" i="16" a="1"/>
  <c r="X9" i="16" a="1"/>
  <c r="U9" i="16" a="1"/>
  <c r="W9" i="16" a="1"/>
  <c r="T25" i="10" a="1"/>
  <c r="Z9" i="16" a="1"/>
  <c r="V9" i="16" a="1"/>
  <c r="T9" i="16" l="1"/>
  <c r="Z9" i="16"/>
  <c r="Y9" i="16"/>
  <c r="X9" i="16"/>
  <c r="U9" i="16"/>
  <c r="W9" i="16"/>
  <c r="V9" i="16"/>
  <c r="T25" i="10"/>
  <c r="A25" i="10" s="1"/>
  <c r="T25" i="8"/>
  <c r="AE24" i="8"/>
  <c r="A24" i="7"/>
  <c r="A18" i="8"/>
  <c r="T18" i="8" s="1"/>
  <c r="T19" i="10" a="1"/>
  <c r="T26" i="10" a="1"/>
  <c r="T25" i="11" a="1"/>
  <c r="AH9" i="16" l="1"/>
  <c r="K9" i="16"/>
  <c r="N9" i="16"/>
  <c r="AK9" i="16"/>
  <c r="AE9" i="16"/>
  <c r="H9" i="16"/>
  <c r="J9" i="16"/>
  <c r="AG9" i="16"/>
  <c r="I9" i="16"/>
  <c r="AF9" i="16"/>
  <c r="AI9" i="16"/>
  <c r="L9" i="16"/>
  <c r="M9" i="16"/>
  <c r="AJ9" i="16"/>
  <c r="T25" i="11"/>
  <c r="AE25" i="10"/>
  <c r="T19" i="10"/>
  <c r="A19" i="10" s="1"/>
  <c r="T26" i="10"/>
  <c r="AE18" i="8"/>
  <c r="AE25" i="8"/>
  <c r="A19" i="7"/>
  <c r="A20" i="7"/>
  <c r="A17" i="7"/>
  <c r="T26" i="11" a="1"/>
  <c r="T19" i="11" a="1"/>
  <c r="T25" i="12" a="1"/>
  <c r="A25" i="11" l="1"/>
  <c r="T19" i="11"/>
  <c r="T26" i="11"/>
  <c r="T25" i="12"/>
  <c r="AE19" i="10"/>
  <c r="AE26" i="10"/>
  <c r="AE25" i="11"/>
  <c r="A20" i="8"/>
  <c r="T20" i="8" s="1"/>
  <c r="A17" i="8"/>
  <c r="T17" i="8" s="1"/>
  <c r="A19" i="8"/>
  <c r="T19" i="8" s="1"/>
  <c r="A12" i="3"/>
  <c r="A12" i="4" s="1"/>
  <c r="A12" i="5" s="1"/>
  <c r="A12" i="7" s="1"/>
  <c r="N8" i="3"/>
  <c r="N8" i="4" s="1"/>
  <c r="N8" i="5" s="1"/>
  <c r="N8" i="7" s="1"/>
  <c r="M8" i="3"/>
  <c r="M8" i="4" s="1"/>
  <c r="M8" i="5" s="1"/>
  <c r="M8" i="7" s="1"/>
  <c r="L8" i="3"/>
  <c r="L8" i="4" s="1"/>
  <c r="L8" i="5" s="1"/>
  <c r="L8" i="7" s="1"/>
  <c r="K8" i="3"/>
  <c r="K8" i="4" s="1"/>
  <c r="K8" i="5" s="1"/>
  <c r="K8" i="7" s="1"/>
  <c r="J8" i="3"/>
  <c r="J8" i="4" s="1"/>
  <c r="J8" i="5" s="1"/>
  <c r="J8" i="7" s="1"/>
  <c r="I8" i="3"/>
  <c r="I8" i="4" s="1"/>
  <c r="I8" i="5" s="1"/>
  <c r="I8" i="7" s="1"/>
  <c r="H8" i="3"/>
  <c r="H8" i="4" s="1"/>
  <c r="H8" i="5" s="1"/>
  <c r="H8" i="7" s="1"/>
  <c r="N7" i="3"/>
  <c r="N7" i="4" s="1"/>
  <c r="N7" i="5" s="1"/>
  <c r="N7" i="7" s="1"/>
  <c r="M7" i="3"/>
  <c r="M7" i="4" s="1"/>
  <c r="M7" i="5" s="1"/>
  <c r="M7" i="7" s="1"/>
  <c r="L7" i="3"/>
  <c r="L7" i="4" s="1"/>
  <c r="L7" i="5" s="1"/>
  <c r="L7" i="7" s="1"/>
  <c r="K7" i="3"/>
  <c r="K7" i="4" s="1"/>
  <c r="K7" i="5" s="1"/>
  <c r="K7" i="7" s="1"/>
  <c r="J7" i="3"/>
  <c r="J7" i="4" s="1"/>
  <c r="J7" i="5" s="1"/>
  <c r="J7" i="7" s="1"/>
  <c r="I7" i="3"/>
  <c r="I7" i="4" s="1"/>
  <c r="I7" i="5" s="1"/>
  <c r="I7" i="7" s="1"/>
  <c r="H7" i="3"/>
  <c r="H7" i="4" s="1"/>
  <c r="H7" i="5" s="1"/>
  <c r="H7" i="7" s="1"/>
  <c r="N6" i="3"/>
  <c r="N6" i="4" s="1"/>
  <c r="N6" i="5" s="1"/>
  <c r="N6" i="7" s="1"/>
  <c r="M6" i="3"/>
  <c r="M6" i="4" s="1"/>
  <c r="M6" i="5" s="1"/>
  <c r="M6" i="7" s="1"/>
  <c r="L6" i="3"/>
  <c r="L6" i="4" s="1"/>
  <c r="L6" i="5" s="1"/>
  <c r="L6" i="7" s="1"/>
  <c r="K6" i="3"/>
  <c r="K6" i="4" s="1"/>
  <c r="K6" i="5" s="1"/>
  <c r="K6" i="7" s="1"/>
  <c r="J6" i="3"/>
  <c r="J6" i="4" s="1"/>
  <c r="J6" i="5" s="1"/>
  <c r="J6" i="7" s="1"/>
  <c r="I6" i="3"/>
  <c r="I6" i="4" s="1"/>
  <c r="I6" i="5" s="1"/>
  <c r="I6" i="7" s="1"/>
  <c r="H6" i="3"/>
  <c r="H6" i="4" s="1"/>
  <c r="H6" i="5" s="1"/>
  <c r="H6" i="7" s="1"/>
  <c r="T26" i="12" a="1"/>
  <c r="T25" i="13" a="1"/>
  <c r="T21" i="10" a="1"/>
  <c r="T20" i="10" a="1"/>
  <c r="T18" i="10" a="1"/>
  <c r="T19" i="12" a="1"/>
  <c r="T25" i="13" l="1"/>
  <c r="A19" i="11"/>
  <c r="AE25" i="12"/>
  <c r="A25" i="12"/>
  <c r="T19" i="12"/>
  <c r="T26" i="12"/>
  <c r="AE19" i="11"/>
  <c r="AE26" i="11"/>
  <c r="T18" i="10"/>
  <c r="A18" i="10" s="1"/>
  <c r="T21" i="10"/>
  <c r="A21" i="10" s="1"/>
  <c r="T20" i="10"/>
  <c r="A20" i="10" s="1"/>
  <c r="AE17" i="8"/>
  <c r="AE20" i="8"/>
  <c r="AE19" i="8"/>
  <c r="N7" i="8"/>
  <c r="Z7" i="8" s="1"/>
  <c r="L6" i="8"/>
  <c r="X6" i="8" s="1"/>
  <c r="J8" i="8"/>
  <c r="V8" i="8" s="1"/>
  <c r="N6" i="8"/>
  <c r="Z6" i="8" s="1"/>
  <c r="M8" i="8"/>
  <c r="Y8" i="8" s="1"/>
  <c r="I7" i="8"/>
  <c r="U7" i="8" s="1"/>
  <c r="N8" i="8"/>
  <c r="Z8" i="8" s="1"/>
  <c r="K8" i="8"/>
  <c r="W8" i="8" s="1"/>
  <c r="L8" i="8"/>
  <c r="X8" i="8" s="1"/>
  <c r="J7" i="8"/>
  <c r="V7" i="8" s="1"/>
  <c r="A12" i="8"/>
  <c r="T11" i="8" s="1"/>
  <c r="M6" i="8"/>
  <c r="Y6" i="8" s="1"/>
  <c r="H7" i="8"/>
  <c r="T7" i="8" s="1"/>
  <c r="K7" i="8"/>
  <c r="W7" i="8" s="1"/>
  <c r="L7" i="8"/>
  <c r="X7" i="8" s="1"/>
  <c r="H6" i="8"/>
  <c r="T6" i="8" s="1"/>
  <c r="M7" i="8"/>
  <c r="Y7" i="8" s="1"/>
  <c r="I6" i="8"/>
  <c r="U6" i="8" s="1"/>
  <c r="J6" i="8"/>
  <c r="V6" i="8" s="1"/>
  <c r="H8" i="8"/>
  <c r="T8" i="8" s="1"/>
  <c r="K6" i="8"/>
  <c r="W6" i="8" s="1"/>
  <c r="I8" i="8"/>
  <c r="U8" i="8" s="1"/>
  <c r="T24" i="15" a="1"/>
  <c r="V8" i="10" a="1"/>
  <c r="W10" i="10" a="1"/>
  <c r="T20" i="11" a="1"/>
  <c r="T26" i="13" a="1"/>
  <c r="X9" i="10" a="1"/>
  <c r="U9" i="10" a="1"/>
  <c r="Y10" i="10" a="1"/>
  <c r="T8" i="10" a="1"/>
  <c r="T13" i="10" a="1"/>
  <c r="T21" i="11" a="1"/>
  <c r="V10" i="10" a="1"/>
  <c r="U8" i="10" a="1"/>
  <c r="Z10" i="10" a="1"/>
  <c r="T18" i="11" a="1"/>
  <c r="X10" i="10" a="1"/>
  <c r="T19" i="13" a="1"/>
  <c r="W8" i="10" a="1"/>
  <c r="Y9" i="10" a="1"/>
  <c r="U10" i="10" a="1"/>
  <c r="X8" i="10" a="1"/>
  <c r="T10" i="10" a="1"/>
  <c r="V9" i="10" a="1"/>
  <c r="T9" i="10" a="1"/>
  <c r="W9" i="10" a="1"/>
  <c r="Z9" i="10" a="1"/>
  <c r="Y8" i="10" a="1"/>
  <c r="Z8" i="10" a="1"/>
  <c r="A25" i="13" l="1"/>
  <c r="T24" i="15"/>
  <c r="AE25" i="13"/>
  <c r="T26" i="13"/>
  <c r="T19" i="13"/>
  <c r="AE26" i="12"/>
  <c r="AE19" i="12"/>
  <c r="A19" i="12"/>
  <c r="T21" i="11"/>
  <c r="T20" i="11"/>
  <c r="T18" i="11"/>
  <c r="AE21" i="10"/>
  <c r="AE20" i="10"/>
  <c r="AE18" i="10"/>
  <c r="V10" i="10"/>
  <c r="J10" i="10" s="1"/>
  <c r="W9" i="10"/>
  <c r="K9" i="10" s="1"/>
  <c r="V8" i="10"/>
  <c r="J8" i="10" s="1"/>
  <c r="T9" i="10"/>
  <c r="H9" i="10" s="1"/>
  <c r="Z10" i="10"/>
  <c r="N10" i="10" s="1"/>
  <c r="Z9" i="10"/>
  <c r="N9" i="10" s="1"/>
  <c r="W8" i="10"/>
  <c r="K8" i="10" s="1"/>
  <c r="T10" i="10"/>
  <c r="H10" i="10" s="1"/>
  <c r="U9" i="10"/>
  <c r="I9" i="10" s="1"/>
  <c r="Y9" i="10"/>
  <c r="M9" i="10" s="1"/>
  <c r="T13" i="10"/>
  <c r="A13" i="10" s="1"/>
  <c r="Y10" i="10"/>
  <c r="M10" i="10" s="1"/>
  <c r="W10" i="10"/>
  <c r="K10" i="10" s="1"/>
  <c r="X10" i="10"/>
  <c r="L10" i="10" s="1"/>
  <c r="U8" i="10"/>
  <c r="I8" i="10" s="1"/>
  <c r="U10" i="10"/>
  <c r="I10" i="10" s="1"/>
  <c r="T8" i="10"/>
  <c r="H8" i="10" s="1"/>
  <c r="V9" i="10"/>
  <c r="J9" i="10" s="1"/>
  <c r="Z8" i="10"/>
  <c r="N8" i="10" s="1"/>
  <c r="X9" i="10"/>
  <c r="L9" i="10" s="1"/>
  <c r="Y8" i="10"/>
  <c r="M8" i="10" s="1"/>
  <c r="X8" i="10"/>
  <c r="L8" i="10" s="1"/>
  <c r="AG8" i="8"/>
  <c r="AH7" i="8"/>
  <c r="AG6" i="8"/>
  <c r="AE7" i="8"/>
  <c r="AK8" i="8"/>
  <c r="AK7" i="8"/>
  <c r="AH6" i="8"/>
  <c r="AE8" i="8"/>
  <c r="AF7" i="8"/>
  <c r="AJ7" i="8"/>
  <c r="AE11" i="8"/>
  <c r="AJ8" i="8"/>
  <c r="AH8" i="8"/>
  <c r="AI8" i="8"/>
  <c r="AF6" i="8"/>
  <c r="AF8" i="8"/>
  <c r="AE6" i="8"/>
  <c r="AG7" i="8"/>
  <c r="AK6" i="8"/>
  <c r="AI7" i="8"/>
  <c r="AJ6" i="8"/>
  <c r="AI6" i="8"/>
  <c r="V10" i="11" a="1"/>
  <c r="V8" i="11" a="1"/>
  <c r="U9" i="11" a="1"/>
  <c r="Y8" i="11" a="1"/>
  <c r="T8" i="11" a="1"/>
  <c r="Y9" i="11" a="1"/>
  <c r="W10" i="11" a="1"/>
  <c r="U10" i="11" a="1"/>
  <c r="T25" i="15" a="1"/>
  <c r="Z8" i="11" a="1"/>
  <c r="X9" i="11" a="1"/>
  <c r="Z10" i="11" a="1"/>
  <c r="V9" i="11" a="1"/>
  <c r="Y10" i="11" a="1"/>
  <c r="Z9" i="11" a="1"/>
  <c r="T24" i="16" a="1"/>
  <c r="W9" i="11" a="1"/>
  <c r="X8" i="11" a="1"/>
  <c r="T13" i="11" a="1"/>
  <c r="U8" i="11" a="1"/>
  <c r="T9" i="11" a="1"/>
  <c r="T21" i="12" a="1"/>
  <c r="W8" i="11" a="1"/>
  <c r="T18" i="12" a="1"/>
  <c r="T10" i="11" a="1"/>
  <c r="X10" i="11" a="1"/>
  <c r="T18" i="15" a="1"/>
  <c r="T20" i="12" a="1"/>
  <c r="T24" i="16" l="1"/>
  <c r="AE24" i="16" s="1"/>
  <c r="A24" i="15"/>
  <c r="AE24" i="15"/>
  <c r="T18" i="15"/>
  <c r="T25" i="15"/>
  <c r="AE26" i="13"/>
  <c r="A19" i="13"/>
  <c r="AE19" i="13"/>
  <c r="AE20" i="11"/>
  <c r="A20" i="11"/>
  <c r="AE21" i="11"/>
  <c r="A21" i="11"/>
  <c r="AE18" i="11"/>
  <c r="A18" i="11"/>
  <c r="Y10" i="11"/>
  <c r="Z9" i="11"/>
  <c r="T8" i="11"/>
  <c r="T13" i="11"/>
  <c r="Z10" i="11"/>
  <c r="X8" i="11"/>
  <c r="U10" i="11"/>
  <c r="T9" i="11"/>
  <c r="Y9" i="11"/>
  <c r="V9" i="11"/>
  <c r="V8" i="11"/>
  <c r="U8" i="11"/>
  <c r="Y8" i="11"/>
  <c r="U9" i="11"/>
  <c r="X10" i="11"/>
  <c r="X9" i="11"/>
  <c r="T10" i="11"/>
  <c r="W9" i="11"/>
  <c r="T18" i="12"/>
  <c r="Z8" i="11"/>
  <c r="W10" i="11"/>
  <c r="W8" i="11"/>
  <c r="V10" i="11"/>
  <c r="T20" i="12"/>
  <c r="T21" i="12"/>
  <c r="AJ10" i="10"/>
  <c r="AK9" i="10"/>
  <c r="AE8" i="10"/>
  <c r="AE13" i="10"/>
  <c r="AK10" i="10"/>
  <c r="AI8" i="10"/>
  <c r="AF10" i="10"/>
  <c r="AE9" i="10"/>
  <c r="AJ9" i="10"/>
  <c r="AG9" i="10"/>
  <c r="AG8" i="10"/>
  <c r="AF8" i="10"/>
  <c r="AJ8" i="10"/>
  <c r="AF9" i="10"/>
  <c r="AI10" i="10"/>
  <c r="AI9" i="10"/>
  <c r="AE10" i="10"/>
  <c r="AH9" i="10"/>
  <c r="AK8" i="10"/>
  <c r="AH10" i="10"/>
  <c r="AH8" i="10"/>
  <c r="AG10" i="10"/>
  <c r="Z8" i="12" a="1"/>
  <c r="X10" i="12" a="1"/>
  <c r="V8" i="12" a="1"/>
  <c r="U8" i="12" a="1"/>
  <c r="Y10" i="12" a="1"/>
  <c r="T20" i="13" a="1"/>
  <c r="T13" i="12" a="1"/>
  <c r="Z9" i="12" a="1"/>
  <c r="T10" i="12" a="1"/>
  <c r="T9" i="12" a="1"/>
  <c r="U10" i="12" a="1"/>
  <c r="V10" i="12" a="1"/>
  <c r="T18" i="13" a="1"/>
  <c r="X8" i="12" a="1"/>
  <c r="Z10" i="12" a="1"/>
  <c r="W8" i="12" a="1"/>
  <c r="U9" i="12" a="1"/>
  <c r="T21" i="13" a="1"/>
  <c r="Y8" i="12" a="1"/>
  <c r="T18" i="16" a="1"/>
  <c r="T25" i="16" a="1"/>
  <c r="W10" i="12" a="1"/>
  <c r="W9" i="12" a="1"/>
  <c r="X9" i="12" a="1"/>
  <c r="V9" i="12" a="1"/>
  <c r="Y9" i="12" a="1"/>
  <c r="T8" i="12" a="1"/>
  <c r="A24" i="16" l="1"/>
  <c r="T25" i="16"/>
  <c r="AE25" i="16" s="1"/>
  <c r="T18" i="16"/>
  <c r="AE18" i="16" s="1"/>
  <c r="AE25" i="15"/>
  <c r="A18" i="15"/>
  <c r="AE18" i="15"/>
  <c r="T18" i="13"/>
  <c r="T21" i="13"/>
  <c r="T20" i="13"/>
  <c r="J8" i="11"/>
  <c r="J9" i="11"/>
  <c r="J10" i="11"/>
  <c r="K8" i="11"/>
  <c r="K10" i="11"/>
  <c r="I9" i="11"/>
  <c r="N8" i="11"/>
  <c r="AJ9" i="11"/>
  <c r="M9" i="11"/>
  <c r="AF10" i="11"/>
  <c r="I10" i="11"/>
  <c r="AH9" i="11"/>
  <c r="K9" i="11"/>
  <c r="AJ10" i="11"/>
  <c r="M10" i="11"/>
  <c r="AE9" i="11"/>
  <c r="H9" i="11"/>
  <c r="AE10" i="11"/>
  <c r="H10" i="11"/>
  <c r="AK9" i="11"/>
  <c r="N9" i="11"/>
  <c r="AK10" i="11"/>
  <c r="N10" i="11"/>
  <c r="AI9" i="11"/>
  <c r="L9" i="11"/>
  <c r="AI10" i="11"/>
  <c r="L10" i="11"/>
  <c r="AI8" i="11"/>
  <c r="L8" i="11"/>
  <c r="AF8" i="11"/>
  <c r="I8" i="11"/>
  <c r="AJ8" i="11"/>
  <c r="M8" i="11"/>
  <c r="AE8" i="11"/>
  <c r="H8" i="11"/>
  <c r="AE20" i="12"/>
  <c r="A20" i="12"/>
  <c r="AE21" i="12"/>
  <c r="A21" i="12"/>
  <c r="AE18" i="12"/>
  <c r="A18" i="12"/>
  <c r="AE13" i="11"/>
  <c r="A13" i="11"/>
  <c r="V10" i="12"/>
  <c r="X8" i="12"/>
  <c r="U8" i="12"/>
  <c r="W8" i="12"/>
  <c r="V9" i="12"/>
  <c r="W10" i="12"/>
  <c r="Y9" i="12"/>
  <c r="Z8" i="12"/>
  <c r="T9" i="12"/>
  <c r="V8" i="12"/>
  <c r="U10" i="12"/>
  <c r="W9" i="12"/>
  <c r="T10" i="12"/>
  <c r="Z10" i="12"/>
  <c r="X9" i="12"/>
  <c r="T13" i="12"/>
  <c r="X10" i="12"/>
  <c r="T8" i="12"/>
  <c r="U9" i="12"/>
  <c r="Z9" i="12"/>
  <c r="Y8" i="12"/>
  <c r="Y10" i="12"/>
  <c r="AG9" i="11"/>
  <c r="AG10" i="11"/>
  <c r="AH8" i="11"/>
  <c r="AG8" i="11"/>
  <c r="AH10" i="11"/>
  <c r="AK8" i="11"/>
  <c r="AF9" i="11"/>
  <c r="V9" i="13" a="1"/>
  <c r="W8" i="13" a="1"/>
  <c r="T9" i="13" a="1"/>
  <c r="W10" i="13" a="1"/>
  <c r="W9" i="13" a="1"/>
  <c r="U8" i="13" a="1"/>
  <c r="Z8" i="13" a="1"/>
  <c r="U9" i="13" a="1"/>
  <c r="T17" i="15" a="1"/>
  <c r="Y9" i="13" a="1"/>
  <c r="Z10" i="13" a="1"/>
  <c r="X10" i="13" a="1"/>
  <c r="X8" i="13" a="1"/>
  <c r="T8" i="13" a="1"/>
  <c r="T20" i="15" a="1"/>
  <c r="Y8" i="13" a="1"/>
  <c r="T10" i="13" a="1"/>
  <c r="T13" i="13" a="1"/>
  <c r="X9" i="13" a="1"/>
  <c r="Y10" i="13" a="1"/>
  <c r="Z9" i="13" a="1"/>
  <c r="V8" i="13" a="1"/>
  <c r="T19" i="15" a="1"/>
  <c r="U10" i="13" a="1"/>
  <c r="V10" i="13" a="1"/>
  <c r="A18" i="16" l="1"/>
  <c r="T20" i="15"/>
  <c r="T17" i="15"/>
  <c r="T19" i="15"/>
  <c r="AE18" i="13"/>
  <c r="AE20" i="13"/>
  <c r="A18" i="13"/>
  <c r="A21" i="13"/>
  <c r="AE21" i="13"/>
  <c r="X9" i="13"/>
  <c r="T9" i="13"/>
  <c r="Y8" i="13"/>
  <c r="W10" i="13"/>
  <c r="Y9" i="13"/>
  <c r="V9" i="13"/>
  <c r="Z8" i="13"/>
  <c r="Z9" i="13"/>
  <c r="U9" i="13"/>
  <c r="T8" i="13"/>
  <c r="W8" i="13"/>
  <c r="Y10" i="13"/>
  <c r="U8" i="13"/>
  <c r="V8" i="13"/>
  <c r="X10" i="13"/>
  <c r="T13" i="13"/>
  <c r="X8" i="13"/>
  <c r="Z10" i="13"/>
  <c r="T10" i="13"/>
  <c r="V10" i="13"/>
  <c r="W9" i="13"/>
  <c r="U10" i="13"/>
  <c r="A13" i="12"/>
  <c r="A20" i="13"/>
  <c r="AI10" i="12"/>
  <c r="L10" i="12"/>
  <c r="AG9" i="12"/>
  <c r="J9" i="12"/>
  <c r="AK10" i="12"/>
  <c r="N10" i="12"/>
  <c r="AG10" i="12"/>
  <c r="J10" i="12"/>
  <c r="AI9" i="12"/>
  <c r="L9" i="12"/>
  <c r="AE10" i="12"/>
  <c r="H10" i="12"/>
  <c r="AH9" i="12"/>
  <c r="K9" i="12"/>
  <c r="AF10" i="12"/>
  <c r="I10" i="12"/>
  <c r="AJ10" i="12"/>
  <c r="M10" i="12"/>
  <c r="AE9" i="12"/>
  <c r="H9" i="12"/>
  <c r="AK9" i="12"/>
  <c r="N9" i="12"/>
  <c r="AF9" i="12"/>
  <c r="I9" i="12"/>
  <c r="AJ9" i="12"/>
  <c r="M9" i="12"/>
  <c r="AH10" i="12"/>
  <c r="K10" i="12"/>
  <c r="AH8" i="12"/>
  <c r="K8" i="12"/>
  <c r="AF8" i="12"/>
  <c r="I8" i="12"/>
  <c r="AI8" i="12"/>
  <c r="L8" i="12"/>
  <c r="AG8" i="12"/>
  <c r="J8" i="12"/>
  <c r="AJ8" i="12"/>
  <c r="M8" i="12"/>
  <c r="AK8" i="12"/>
  <c r="N8" i="12"/>
  <c r="AE8" i="12"/>
  <c r="H8" i="12"/>
  <c r="AE13" i="12"/>
  <c r="U8" i="15" a="1"/>
  <c r="Y8" i="15" a="1"/>
  <c r="T20" i="16" a="1"/>
  <c r="T17" i="16" a="1"/>
  <c r="V8" i="15" a="1"/>
  <c r="X8" i="15" a="1"/>
  <c r="T8" i="15" a="1"/>
  <c r="T19" i="16" a="1"/>
  <c r="Z8" i="15" a="1"/>
  <c r="W8" i="15" a="1"/>
  <c r="T12" i="15" a="1"/>
  <c r="T17" i="16" l="1"/>
  <c r="A17" i="16" s="1"/>
  <c r="T20" i="16"/>
  <c r="A20" i="16" s="1"/>
  <c r="T19" i="16"/>
  <c r="AE19" i="16" s="1"/>
  <c r="AE17" i="15"/>
  <c r="A20" i="15"/>
  <c r="AE19" i="15"/>
  <c r="A13" i="13"/>
  <c r="A17" i="15"/>
  <c r="AE20" i="15"/>
  <c r="A19" i="15"/>
  <c r="M9" i="15"/>
  <c r="V8" i="15"/>
  <c r="J9" i="15"/>
  <c r="AE9" i="15"/>
  <c r="Y8" i="15"/>
  <c r="AK9" i="15"/>
  <c r="K9" i="15"/>
  <c r="T8" i="15"/>
  <c r="X8" i="15"/>
  <c r="U8" i="15"/>
  <c r="L9" i="15"/>
  <c r="AF9" i="15"/>
  <c r="Z8" i="15"/>
  <c r="T12" i="15"/>
  <c r="W8" i="15"/>
  <c r="AJ10" i="13"/>
  <c r="AG8" i="13"/>
  <c r="AK10" i="13"/>
  <c r="AJ8" i="13"/>
  <c r="AI9" i="13"/>
  <c r="AF8" i="13"/>
  <c r="AE8" i="13"/>
  <c r="AI10" i="13"/>
  <c r="AE13" i="13"/>
  <c r="AK8" i="13"/>
  <c r="L9" i="13"/>
  <c r="J10" i="13"/>
  <c r="AG10" i="13"/>
  <c r="I9" i="13"/>
  <c r="AF9" i="13"/>
  <c r="H10" i="13"/>
  <c r="AE10" i="13"/>
  <c r="M9" i="13"/>
  <c r="AJ9" i="13"/>
  <c r="I10" i="13"/>
  <c r="AF10" i="13"/>
  <c r="K10" i="13"/>
  <c r="AH10" i="13"/>
  <c r="N9" i="13"/>
  <c r="AK9" i="13"/>
  <c r="K9" i="13"/>
  <c r="AH9" i="13"/>
  <c r="J9" i="13"/>
  <c r="AG9" i="13"/>
  <c r="H9" i="13"/>
  <c r="AE9" i="13"/>
  <c r="K8" i="13"/>
  <c r="AH8" i="13"/>
  <c r="L8" i="13"/>
  <c r="AI8" i="13"/>
  <c r="L10" i="13"/>
  <c r="N10" i="13"/>
  <c r="N8" i="13"/>
  <c r="M10" i="13"/>
  <c r="I8" i="13"/>
  <c r="H8" i="13"/>
  <c r="J8" i="13"/>
  <c r="M8" i="13"/>
  <c r="V8" i="16" a="1"/>
  <c r="U8" i="16" a="1"/>
  <c r="Y8" i="16" a="1"/>
  <c r="Z8" i="16" a="1"/>
  <c r="T8" i="16" a="1"/>
  <c r="X8" i="16" a="1"/>
  <c r="T12" i="16" a="1"/>
  <c r="W8" i="16" a="1"/>
  <c r="AE17" i="16" l="1"/>
  <c r="A19" i="16"/>
  <c r="AE20" i="16"/>
  <c r="Z8" i="16"/>
  <c r="AK8" i="16" s="1"/>
  <c r="Y8" i="16"/>
  <c r="AJ8" i="16" s="1"/>
  <c r="V8" i="16"/>
  <c r="AG8" i="16" s="1"/>
  <c r="W8" i="16"/>
  <c r="K8" i="16" s="1"/>
  <c r="U8" i="16"/>
  <c r="I8" i="16" s="1"/>
  <c r="T12" i="16"/>
  <c r="A12" i="16" s="1"/>
  <c r="X8" i="16"/>
  <c r="AI8" i="16" s="1"/>
  <c r="T8" i="16"/>
  <c r="H8" i="16" s="1"/>
  <c r="N8" i="15"/>
  <c r="AJ8" i="15"/>
  <c r="J8" i="15"/>
  <c r="K8" i="15"/>
  <c r="AF8" i="15"/>
  <c r="L8" i="15"/>
  <c r="H8" i="15"/>
  <c r="AE12" i="15"/>
  <c r="A12" i="15"/>
  <c r="AI8" i="15"/>
  <c r="I8" i="15"/>
  <c r="AK8" i="15"/>
  <c r="M8" i="15"/>
  <c r="AE8" i="15"/>
  <c r="AI9" i="15"/>
  <c r="AG9" i="15"/>
  <c r="I9" i="15"/>
  <c r="H9" i="15"/>
  <c r="AJ9" i="15"/>
  <c r="AG8" i="15"/>
  <c r="AH8" i="15"/>
  <c r="AH9" i="15"/>
  <c r="N9" i="15"/>
  <c r="J8" i="16" l="1"/>
  <c r="M8" i="16"/>
  <c r="AH8" i="16"/>
  <c r="AE12" i="16"/>
  <c r="N8" i="16"/>
  <c r="AF8" i="16"/>
  <c r="L8" i="16"/>
  <c r="AE8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at the start of the first full pay period after January 1, 2017:
Increae each step on the wage schedule 2.25%.
Increase shift differential from $0.615 to $1.00 per hour. Increase Longevity $0.10 per hour. 
Step progression permitted. 
safety shoe annual accrual remains $150 per year, and caps annual reimbursement from at $200 per year.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Nelmspk0: 2018 Effective Increases as follows:</t>
        </r>
        <r>
          <rPr>
            <sz val="8"/>
            <color indexed="81"/>
            <rFont val="Tahoma"/>
            <family val="2"/>
          </rPr>
          <t xml:space="preserve">
Effective January 1, 2018: no change to any rates until May 2018.
Effective May1, 2018: 
Increase each step on the wage schedule 2.5%.
Increase the Lead Worker Premium 2.5%
No Longevity Increase in 2018
Effective September 30, 2018:
Increase shift differential from $1.00 to $1.20 per hour. 
Step progression permitted. 
Safety shoe annual accrual remains $150 per year, and caps annual reimbursement from at $200 per year.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Nelmspk0: 2018 Effective Increases as follows:</t>
        </r>
        <r>
          <rPr>
            <sz val="8"/>
            <color indexed="81"/>
            <rFont val="Tahoma"/>
            <family val="2"/>
          </rPr>
          <t xml:space="preserve">
Effective May1, 2018: 
Increase each step on the wage schedule 2.5%.
Increase the Lead Worker Premium 2.5%
No Longevity Increase in 2018
Effective September 30, 2018:
Increase shift differential from $1.00 to $1.20 per hour. 
Step progression permitted. 
Safety shoe annual accrual remains $150 per year, and caps annual reimbursement from at $200 per year.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2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Nelmspk0: 2018 Effective Increases as follows:</t>
        </r>
        <r>
          <rPr>
            <sz val="8"/>
            <color indexed="81"/>
            <rFont val="Tahoma"/>
            <family val="2"/>
          </rPr>
          <t xml:space="preserve">
Effective September 30, 2018:
Increase shift differential from $1.00 to $1.20 per hour. 
Step progression permitted. 
Safety shoe annual accrual remains $150 per year, and caps annual reimbursement from at $200 per year.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<sst xmlns="http://schemas.openxmlformats.org/spreadsheetml/2006/main" count="1059" uniqueCount="142">
  <si>
    <t>Teamsters Local #320 (CVT) - Convention Center</t>
  </si>
  <si>
    <t>Effective at the start of the first full pay period followingJanuary 1, 2017</t>
  </si>
  <si>
    <t>Step Progression Allowed.</t>
  </si>
  <si>
    <t>Job Code</t>
  </si>
  <si>
    <t>Non Exempt Classifications</t>
  </si>
  <si>
    <t>FLSA/ OTC</t>
  </si>
  <si>
    <t>PTS</t>
  </si>
  <si>
    <t>G</t>
  </si>
  <si>
    <t>P</t>
  </si>
  <si>
    <t>4-month rate</t>
  </si>
  <si>
    <t>Step 1</t>
  </si>
  <si>
    <t>Step 2</t>
  </si>
  <si>
    <t>Step 3</t>
  </si>
  <si>
    <t>Step 4</t>
  </si>
  <si>
    <t>Step 5</t>
  </si>
  <si>
    <t>Step 6</t>
  </si>
  <si>
    <t>02630C</t>
  </si>
  <si>
    <t>N2</t>
  </si>
  <si>
    <t>H</t>
  </si>
  <si>
    <t>05355C</t>
  </si>
  <si>
    <t>Ground Worker Conv Center</t>
  </si>
  <si>
    <t>04185C</t>
  </si>
  <si>
    <t>Building Maint Worker Conv Center</t>
  </si>
  <si>
    <t>Lead Worker Premium</t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</si>
  <si>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when an employee in the bargaining unit is assigned as a lead worker, the employee shall receive an additional </t>
    </r>
  </si>
  <si>
    <t>per hour.</t>
  </si>
  <si>
    <t>Yard Tractor or Garbage Truck Operator Premium</t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</si>
  <si>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when qualified and properly licensed employees are assigned to perform duties associated with operating </t>
    </r>
  </si>
  <si>
    <t xml:space="preserve"> that day subject to a maximum of 8 hours.</t>
  </si>
  <si>
    <t>Longevity</t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</si>
  <si>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employees shall receive the following longevity.  These payments</t>
    </r>
  </si>
  <si>
    <t>shall be based on a maximum of 80 hours bi-weekly.</t>
  </si>
  <si>
    <t>per hour additional at the beginning of the 10th year of service.</t>
  </si>
  <si>
    <t>per hour additional at the beginning of the 15th year of service.</t>
  </si>
  <si>
    <t>per hour additional at the beginning of the 20th year of service.</t>
  </si>
  <si>
    <t>per hour additional at the beginning of the 25th year of service.</t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</si>
  <si>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all employees who are scheduled to work a full shift which begins between 12:00 noon </t>
    </r>
  </si>
  <si>
    <t xml:space="preserve">and 2:00 a.m. shall be paid an additional $1.00 per hour for all hours worked on such shift.  </t>
  </si>
  <si>
    <t xml:space="preserve">All employees who are scheduled to work a full shift which begins between 12:00 noon </t>
  </si>
  <si>
    <t xml:space="preserve">Shift Differential </t>
  </si>
  <si>
    <t>Effective January 1, 2018</t>
  </si>
  <si>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mployees shall receive the following longevity.  Notwithstanding the requirements of the Fair Labor Standards Act, </t>
    </r>
  </si>
  <si>
    <t>these payments shall be based on a maximum of 80 hours bi-weekly.</t>
  </si>
  <si>
    <t>Effective on May 1, 2018</t>
  </si>
  <si>
    <t xml:space="preserve">and 2:00 a.m. shall be paid an additional $1.20 per hour for all hours worked on such shift.  </t>
  </si>
  <si>
    <t>Conv Ctr Ops Maint Specialist</t>
  </si>
  <si>
    <t xml:space="preserve">the yard tractor or garbage truck, the employee shall receive 1.677 per hour their full shift worked. </t>
  </si>
  <si>
    <t>Effective on May 1, 2019</t>
  </si>
  <si>
    <t>CVT</t>
  </si>
  <si>
    <t>04</t>
  </si>
  <si>
    <t>Building Mtc Worker Conv Ctr-C</t>
  </si>
  <si>
    <t>N</t>
  </si>
  <si>
    <t>Grounds Worker Conv Ctr-C</t>
  </si>
  <si>
    <t>02</t>
  </si>
  <si>
    <t>Conv Ctr Ops Maint Specialst-C</t>
  </si>
  <si>
    <t>Step Desc</t>
  </si>
  <si>
    <t>Max/Hour</t>
  </si>
  <si>
    <t>Union Code</t>
  </si>
  <si>
    <t>Tot Points</t>
  </si>
  <si>
    <t>Grade</t>
  </si>
  <si>
    <t>Class Grade</t>
  </si>
  <si>
    <t>Eff Date</t>
  </si>
  <si>
    <t>Std Hrs Wk</t>
  </si>
  <si>
    <t>Annual Rt</t>
  </si>
  <si>
    <t>Hrly Rate</t>
  </si>
  <si>
    <t>Step</t>
  </si>
  <si>
    <t>Sal Grade</t>
  </si>
  <si>
    <t>Sal Plan</t>
  </si>
  <si>
    <t>Job Title</t>
  </si>
  <si>
    <t>FLSA</t>
  </si>
  <si>
    <t xml:space="preserve"> 21</t>
  </si>
  <si>
    <t>Q for current salary grades and job codes on 8 28 2018</t>
  </si>
  <si>
    <t>Salary Grade</t>
  </si>
  <si>
    <t xml:space="preserve"> 02</t>
  </si>
  <si>
    <t xml:space="preserve"> 04</t>
  </si>
  <si>
    <t>APPENDIX "A" - Teamsters Local #320 (CVT) - Convention Center Janitors</t>
  </si>
  <si>
    <t>`</t>
  </si>
  <si>
    <t>Effective on September 30, 2018</t>
  </si>
  <si>
    <t xml:space="preserve">per hour for all hours worked. </t>
  </si>
  <si>
    <t xml:space="preserve">When an employee is assigned as a lead worker, the employee shall receive an additional </t>
  </si>
  <si>
    <t>Effective on June 1, 2020</t>
  </si>
  <si>
    <t>2020Incr%</t>
  </si>
  <si>
    <t>Effective January 1, 2018: no change to any rates until May 2018.</t>
  </si>
  <si>
    <t xml:space="preserve">Effective May1, 2019: </t>
  </si>
  <si>
    <t>Increase each step on the wage schedule 2.5%.</t>
  </si>
  <si>
    <t>Increase the Lead Worker Premium 2.5%</t>
  </si>
  <si>
    <t>No Longevity Increase in 2019</t>
  </si>
  <si>
    <t xml:space="preserve">Step progression permitted. </t>
  </si>
  <si>
    <t>Safety shoe annual accrual remains $150 per year, and caps annual reimbursement from at $200 per year.</t>
  </si>
  <si>
    <t>Pam Nelms</t>
  </si>
  <si>
    <t>unknown</t>
  </si>
  <si>
    <t>Brenda Miller</t>
  </si>
  <si>
    <t>Effective June 1, 2020: 2.5% increase to wages, Lead Worker premium, shift differential, and longevity premium.</t>
  </si>
  <si>
    <t>Effective June 1, 2021: 2.5% increase to wages, Lead Worker premium, shift differential, and longevity premium. Increase of $0.10/hour to shift differential rate</t>
  </si>
  <si>
    <t>2021Incr%</t>
  </si>
  <si>
    <t>Class
Grade</t>
  </si>
  <si>
    <t>Effective on June 1, 2021</t>
  </si>
  <si>
    <t>Pay
Type</t>
  </si>
  <si>
    <t>CVTEVE</t>
  </si>
  <si>
    <t>TL-Evening Shift Premium-CVT</t>
  </si>
  <si>
    <t>CVTAM1</t>
  </si>
  <si>
    <t>TL-Morning Shift Premium CVT</t>
  </si>
  <si>
    <t>CVTLDS</t>
  </si>
  <si>
    <t>TL-Lead Premium (Substitute)</t>
  </si>
  <si>
    <t>10th year</t>
  </si>
  <si>
    <t>15th year</t>
  </si>
  <si>
    <t>20th year</t>
  </si>
  <si>
    <t>25th year</t>
  </si>
  <si>
    <t>Update</t>
  </si>
  <si>
    <t>Y</t>
  </si>
  <si>
    <t>10th</t>
  </si>
  <si>
    <t>15th</t>
  </si>
  <si>
    <t>20th</t>
  </si>
  <si>
    <t>25th</t>
  </si>
  <si>
    <t>PercIncr2022</t>
  </si>
  <si>
    <t>Data from</t>
  </si>
  <si>
    <t>Data2021</t>
  </si>
  <si>
    <t>PercIncr2023</t>
  </si>
  <si>
    <r>
      <t xml:space="preserve">Effective on January 1, 2022 </t>
    </r>
    <r>
      <rPr>
        <i/>
        <sz val="11"/>
        <rFont val="Calibri"/>
        <family val="2"/>
        <scheme val="minor"/>
      </rPr>
      <t>(2.5% Increase)</t>
    </r>
  </si>
  <si>
    <t>Last Updated February 7, 2023</t>
  </si>
  <si>
    <r>
      <t xml:space="preserve">Effective on January 1, 2023 </t>
    </r>
    <r>
      <rPr>
        <i/>
        <sz val="11"/>
        <rFont val="Calibri"/>
        <family val="2"/>
        <scheme val="minor"/>
      </rPr>
      <t>(2.5% Increase)</t>
    </r>
  </si>
  <si>
    <r>
      <t xml:space="preserve">Effective on January 1, 2024 </t>
    </r>
    <r>
      <rPr>
        <i/>
        <sz val="11"/>
        <rFont val="Calibri"/>
        <family val="2"/>
        <scheme val="minor"/>
      </rPr>
      <t>(4.5% Increase)</t>
    </r>
  </si>
  <si>
    <t>PercIncr2024</t>
  </si>
  <si>
    <t>Data2023</t>
  </si>
  <si>
    <t>Data2022</t>
  </si>
  <si>
    <t>HRIS &amp; Payroll</t>
  </si>
  <si>
    <t>Compensation</t>
  </si>
  <si>
    <t>CITY OF MINNEAPOLIS</t>
  </si>
  <si>
    <t>Data2024</t>
  </si>
  <si>
    <t>PercIncr2025</t>
  </si>
  <si>
    <r>
      <t xml:space="preserve">Effective on January 1, 2025 </t>
    </r>
    <r>
      <rPr>
        <i/>
        <sz val="11"/>
        <rFont val="Calibri"/>
        <family val="2"/>
        <scheme val="minor"/>
      </rPr>
      <t>(10% market adjustment; 4.0% general increase)</t>
    </r>
  </si>
  <si>
    <r>
      <t xml:space="preserve">Effective on January 1, 2026 </t>
    </r>
    <r>
      <rPr>
        <i/>
        <sz val="11"/>
        <rFont val="Calibri"/>
        <family val="2"/>
        <scheme val="minor"/>
      </rPr>
      <t>(4.0% general increase)</t>
    </r>
  </si>
  <si>
    <t>PercIncr2026</t>
  </si>
  <si>
    <t>Data2025</t>
  </si>
  <si>
    <r>
      <t xml:space="preserve">Effective on January 1, 2027 </t>
    </r>
    <r>
      <rPr>
        <i/>
        <sz val="11"/>
        <rFont val="Calibri"/>
        <family val="2"/>
        <scheme val="minor"/>
      </rPr>
      <t>(3.0% general increase)</t>
    </r>
  </si>
  <si>
    <t>Data2026</t>
  </si>
  <si>
    <t>PercIncr2027</t>
  </si>
  <si>
    <t>Event Operations Specialist</t>
  </si>
  <si>
    <t>05</t>
  </si>
  <si>
    <t>Marie Stupeck</t>
  </si>
  <si>
    <t>Changed salary grade for new position: Event Operations Specialist from 04 to 05</t>
  </si>
  <si>
    <t>Last Updated December 15,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</si>
</sst>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.000"/>
    <numFmt numFmtId="165" formatCode="#,##0.000"/>
    <numFmt numFmtId="166" formatCode="General_)"/>
    <numFmt numFmtId="167" formatCode="&quot;$&quot;#,##0.000"/>
    <numFmt numFmtId="168" formatCode="0.000000"/>
    <numFmt numFmtId="169" formatCode="&quot;$&quot;#,##0.00"/>
    <numFmt numFmtId="170" formatCode="0.0%"/>
  </numFmts>
  <fonts count="13" x14ac:knownFonts="1"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Helv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sz val="10"/>
      <name val="Arial"/>
      <family val="2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166" fontId="3" fillId="0" borderId="0"/>
    <xf numFmtId="0" fontId="8" fillId="0" borderId="0"/>
    <xf numFmtId="9" fontId="10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Fill="1" applyAlignment="1" applyProtection="1">
      <alignment horizontal="left"/>
      <protection hidden="1"/>
    </xf>
    <xf numFmtId="0" fontId="2" fillId="0" borderId="0" xfId="0" applyFont="1" applyFill="1" applyProtection="1">
      <protection hidden="1"/>
    </xf>
    <xf numFmtId="164" fontId="2" fillId="0" borderId="0" xfId="0" applyNumberFormat="1" applyFont="1" applyFill="1" applyProtection="1">
      <protection hidden="1"/>
    </xf>
    <xf numFmtId="0" fontId="2" fillId="0" borderId="0" xfId="0" applyFont="1" applyFill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165" fontId="2" fillId="0" borderId="0" xfId="0" applyNumberFormat="1" applyFont="1" applyFill="1" applyProtection="1">
      <protection hidden="1"/>
    </xf>
    <xf numFmtId="0" fontId="2" fillId="0" borderId="0" xfId="0" applyFont="1" applyFill="1"/>
    <xf numFmtId="0" fontId="1" fillId="0" borderId="0" xfId="0" applyFont="1" applyFill="1" applyProtection="1">
      <protection hidden="1"/>
    </xf>
    <xf numFmtId="166" fontId="2" fillId="0" borderId="0" xfId="1" applyFont="1" applyFill="1" applyAlignment="1" applyProtection="1">
      <alignment horizontal="left"/>
      <protection hidden="1"/>
    </xf>
    <xf numFmtId="166" fontId="2" fillId="0" borderId="0" xfId="1" applyFont="1" applyFill="1" applyAlignment="1" applyProtection="1">
      <alignment horizontal="center"/>
      <protection hidden="1"/>
    </xf>
    <xf numFmtId="166" fontId="1" fillId="0" borderId="0" xfId="1" applyFont="1" applyFill="1" applyAlignment="1" applyProtection="1">
      <alignment horizontal="center"/>
      <protection hidden="1"/>
    </xf>
    <xf numFmtId="166" fontId="1" fillId="0" borderId="0" xfId="1" applyFont="1" applyFill="1" applyProtection="1">
      <protection hidden="1"/>
    </xf>
    <xf numFmtId="167" fontId="2" fillId="0" borderId="0" xfId="1" applyNumberFormat="1" applyFont="1" applyFill="1" applyAlignment="1" applyProtection="1">
      <alignment horizontal="left"/>
      <protection hidden="1"/>
    </xf>
    <xf numFmtId="166" fontId="1" fillId="0" borderId="0" xfId="1" applyFont="1" applyFill="1" applyAlignment="1" applyProtection="1">
      <alignment horizontal="left"/>
      <protection hidden="1"/>
    </xf>
    <xf numFmtId="166" fontId="2" fillId="0" borderId="0" xfId="1" applyFont="1" applyFill="1" applyProtection="1">
      <protection hidden="1"/>
    </xf>
    <xf numFmtId="167" fontId="2" fillId="0" borderId="0" xfId="0" applyNumberFormat="1" applyFont="1" applyFill="1" applyProtection="1">
      <protection hidden="1"/>
    </xf>
    <xf numFmtId="4" fontId="2" fillId="0" borderId="0" xfId="0" applyNumberFormat="1" applyFont="1" applyFill="1" applyAlignment="1" applyProtection="1">
      <alignment horizontal="center"/>
      <protection hidden="1"/>
    </xf>
    <xf numFmtId="0" fontId="6" fillId="0" borderId="0" xfId="0" applyFont="1" applyFill="1" applyProtection="1">
      <protection hidden="1"/>
    </xf>
    <xf numFmtId="166" fontId="6" fillId="0" borderId="0" xfId="1" applyFont="1" applyFill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7" fillId="0" borderId="0" xfId="0" applyFont="1" applyFill="1" applyProtection="1">
      <protection hidden="1"/>
    </xf>
    <xf numFmtId="164" fontId="7" fillId="0" borderId="0" xfId="0" applyNumberFormat="1" applyFont="1" applyFill="1" applyProtection="1"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6" fillId="0" borderId="1" xfId="0" applyFont="1" applyFill="1" applyBorder="1" applyAlignment="1" applyProtection="1">
      <alignment horizontal="center" wrapText="1"/>
      <protection hidden="1"/>
    </xf>
    <xf numFmtId="0" fontId="6" fillId="0" borderId="1" xfId="0" applyFont="1" applyFill="1" applyBorder="1" applyAlignment="1" applyProtection="1">
      <alignment horizontal="left"/>
      <protection hidden="1"/>
    </xf>
    <xf numFmtId="0" fontId="6" fillId="0" borderId="1" xfId="0" applyFont="1" applyFill="1" applyBorder="1" applyAlignment="1" applyProtection="1">
      <alignment horizontal="center"/>
      <protection hidden="1"/>
    </xf>
    <xf numFmtId="165" fontId="7" fillId="0" borderId="0" xfId="0" applyNumberFormat="1" applyFont="1" applyFill="1" applyProtection="1">
      <protection hidden="1"/>
    </xf>
    <xf numFmtId="0" fontId="7" fillId="0" borderId="0" xfId="0" applyFont="1" applyFill="1"/>
    <xf numFmtId="166" fontId="7" fillId="0" borderId="0" xfId="1" applyFont="1" applyFill="1" applyAlignment="1" applyProtection="1">
      <alignment horizontal="left"/>
      <protection hidden="1"/>
    </xf>
    <xf numFmtId="166" fontId="7" fillId="0" borderId="0" xfId="1" applyFont="1" applyFill="1" applyAlignment="1" applyProtection="1">
      <alignment horizontal="center"/>
      <protection hidden="1"/>
    </xf>
    <xf numFmtId="166" fontId="6" fillId="0" borderId="0" xfId="1" applyFont="1" applyFill="1" applyAlignment="1" applyProtection="1">
      <alignment horizontal="center"/>
      <protection hidden="1"/>
    </xf>
    <xf numFmtId="166" fontId="6" fillId="0" borderId="0" xfId="1" applyFont="1" applyFill="1" applyProtection="1">
      <protection hidden="1"/>
    </xf>
    <xf numFmtId="167" fontId="7" fillId="0" borderId="0" xfId="1" applyNumberFormat="1" applyFont="1" applyFill="1" applyAlignment="1" applyProtection="1">
      <alignment horizontal="left"/>
      <protection hidden="1"/>
    </xf>
    <xf numFmtId="166" fontId="7" fillId="0" borderId="0" xfId="1" applyFont="1" applyFill="1" applyProtection="1">
      <protection hidden="1"/>
    </xf>
    <xf numFmtId="167" fontId="7" fillId="0" borderId="0" xfId="0" applyNumberFormat="1" applyFont="1" applyFill="1" applyProtection="1">
      <protection hidden="1"/>
    </xf>
    <xf numFmtId="4" fontId="7" fillId="0" borderId="0" xfId="0" applyNumberFormat="1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hidden="1"/>
    </xf>
    <xf numFmtId="165" fontId="7" fillId="0" borderId="0" xfId="0" applyNumberFormat="1" applyFont="1" applyFill="1" applyAlignment="1" applyProtection="1">
      <alignment horizontal="center"/>
      <protection hidden="1"/>
    </xf>
    <xf numFmtId="0" fontId="7" fillId="0" borderId="0" xfId="0" applyFont="1" applyFill="1" applyAlignment="1">
      <alignment horizontal="center"/>
    </xf>
    <xf numFmtId="0" fontId="8" fillId="0" borderId="0" xfId="2"/>
    <xf numFmtId="168" fontId="8" fillId="0" borderId="0" xfId="2" applyNumberFormat="1"/>
    <xf numFmtId="1" fontId="8" fillId="0" borderId="0" xfId="2" applyNumberFormat="1"/>
    <xf numFmtId="14" fontId="8" fillId="0" borderId="0" xfId="2" applyNumberFormat="1"/>
    <xf numFmtId="2" fontId="8" fillId="0" borderId="0" xfId="2" applyNumberFormat="1"/>
    <xf numFmtId="164" fontId="8" fillId="0" borderId="0" xfId="2" applyNumberFormat="1"/>
    <xf numFmtId="0" fontId="9" fillId="2" borderId="2" xfId="2" applyFont="1" applyFill="1" applyBorder="1"/>
    <xf numFmtId="49" fontId="7" fillId="0" borderId="0" xfId="0" applyNumberFormat="1" applyFont="1" applyFill="1" applyAlignment="1" applyProtection="1">
      <alignment horizontal="center"/>
      <protection hidden="1"/>
    </xf>
    <xf numFmtId="167" fontId="7" fillId="0" borderId="0" xfId="1" applyNumberFormat="1" applyFont="1" applyFill="1" applyAlignment="1" applyProtection="1">
      <alignment horizontal="right"/>
      <protection hidden="1"/>
    </xf>
    <xf numFmtId="14" fontId="0" fillId="0" borderId="0" xfId="0" applyNumberFormat="1"/>
    <xf numFmtId="0" fontId="7" fillId="3" borderId="0" xfId="0" applyFont="1" applyFill="1" applyProtection="1">
      <protection hidden="1"/>
    </xf>
    <xf numFmtId="10" fontId="7" fillId="3" borderId="0" xfId="0" applyNumberFormat="1" applyFont="1" applyFill="1" applyProtection="1">
      <protection hidden="1"/>
    </xf>
    <xf numFmtId="167" fontId="7" fillId="0" borderId="0" xfId="0" applyNumberFormat="1" applyFont="1" applyFill="1" applyAlignment="1" applyProtection="1">
      <alignment horizontal="center"/>
      <protection hidden="1"/>
    </xf>
    <xf numFmtId="169" fontId="7" fillId="3" borderId="0" xfId="0" applyNumberFormat="1" applyFont="1" applyFill="1" applyProtection="1">
      <protection hidden="1"/>
    </xf>
    <xf numFmtId="0" fontId="0" fillId="3" borderId="0" xfId="0" applyFill="1"/>
    <xf numFmtId="167" fontId="0" fillId="3" borderId="0" xfId="0" applyNumberFormat="1" applyFill="1"/>
    <xf numFmtId="168" fontId="0" fillId="3" borderId="0" xfId="0" applyNumberFormat="1" applyFill="1"/>
    <xf numFmtId="9" fontId="7" fillId="0" borderId="0" xfId="3" applyFont="1" applyFill="1" applyProtection="1">
      <protection hidden="1"/>
    </xf>
    <xf numFmtId="170" fontId="7" fillId="0" borderId="0" xfId="3" applyNumberFormat="1" applyFont="1" applyFill="1" applyAlignment="1" applyProtection="1">
      <alignment horizontal="center"/>
      <protection hidden="1"/>
    </xf>
    <xf numFmtId="169" fontId="7" fillId="0" borderId="0" xfId="0" applyNumberFormat="1" applyFont="1" applyFill="1" applyAlignment="1" applyProtection="1">
      <alignment horizontal="center"/>
      <protection hidden="1"/>
    </xf>
    <xf numFmtId="0" fontId="7" fillId="4" borderId="0" xfId="0" applyFont="1" applyFill="1" applyProtection="1">
      <protection hidden="1"/>
    </xf>
    <xf numFmtId="0" fontId="7" fillId="4" borderId="0" xfId="0" applyFont="1" applyFill="1" applyAlignment="1" applyProtection="1">
      <alignment horizontal="center"/>
      <protection hidden="1"/>
    </xf>
    <xf numFmtId="0" fontId="6" fillId="4" borderId="1" xfId="0" applyFont="1" applyFill="1" applyBorder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4" borderId="1" xfId="0" applyFont="1" applyFill="1" applyBorder="1" applyAlignment="1" applyProtection="1">
      <alignment horizontal="center" wrapText="1"/>
      <protection hidden="1"/>
    </xf>
    <xf numFmtId="49" fontId="7" fillId="4" borderId="0" xfId="0" applyNumberFormat="1" applyFont="1" applyFill="1" applyAlignment="1" applyProtection="1">
      <alignment horizontal="center"/>
      <protection hidden="1"/>
    </xf>
    <xf numFmtId="167" fontId="7" fillId="4" borderId="0" xfId="0" applyNumberFormat="1" applyFont="1" applyFill="1" applyProtection="1">
      <protection hidden="1"/>
    </xf>
    <xf numFmtId="0" fontId="7" fillId="5" borderId="0" xfId="0" applyFont="1" applyFill="1" applyProtection="1">
      <protection hidden="1"/>
    </xf>
    <xf numFmtId="10" fontId="7" fillId="5" borderId="0" xfId="0" applyNumberFormat="1" applyFont="1" applyFill="1" applyProtection="1">
      <protection hidden="1"/>
    </xf>
    <xf numFmtId="0" fontId="7" fillId="5" borderId="0" xfId="0" applyFont="1" applyFill="1" applyAlignment="1" applyProtection="1">
      <alignment horizontal="center"/>
      <protection hidden="1"/>
    </xf>
    <xf numFmtId="0" fontId="6" fillId="5" borderId="1" xfId="0" applyFont="1" applyFill="1" applyBorder="1" applyProtection="1"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 wrapText="1"/>
      <protection hidden="1"/>
    </xf>
    <xf numFmtId="49" fontId="7" fillId="5" borderId="0" xfId="0" applyNumberFormat="1" applyFont="1" applyFill="1" applyAlignment="1" applyProtection="1">
      <alignment horizontal="center"/>
      <protection hidden="1"/>
    </xf>
    <xf numFmtId="167" fontId="7" fillId="5" borderId="0" xfId="0" applyNumberFormat="1" applyFont="1" applyFill="1" applyAlignment="1" applyProtection="1">
      <alignment horizontal="center"/>
      <protection hidden="1"/>
    </xf>
    <xf numFmtId="0" fontId="0" fillId="5" borderId="0" xfId="0" applyFill="1"/>
    <xf numFmtId="0" fontId="6" fillId="5" borderId="0" xfId="0" applyFont="1" applyFill="1" applyProtection="1">
      <protection hidden="1"/>
    </xf>
    <xf numFmtId="0" fontId="12" fillId="0" borderId="0" xfId="0" applyFont="1" applyFill="1" applyProtection="1">
      <protection hidden="1"/>
    </xf>
    <xf numFmtId="0" fontId="12" fillId="5" borderId="0" xfId="0" applyFont="1" applyFill="1" applyProtection="1">
      <protection hidden="1"/>
    </xf>
    <xf numFmtId="0" fontId="12" fillId="5" borderId="0" xfId="0" applyFont="1" applyFill="1" applyAlignment="1" applyProtection="1">
      <alignment horizontal="center"/>
      <protection hidden="1"/>
    </xf>
    <xf numFmtId="0" fontId="12" fillId="4" borderId="0" xfId="0" applyFont="1" applyFill="1" applyProtection="1">
      <protection hidden="1"/>
    </xf>
    <xf numFmtId="0" fontId="12" fillId="4" borderId="0" xfId="0" applyFont="1" applyFill="1" applyAlignment="1" applyProtection="1">
      <alignment horizontal="center"/>
      <protection hidden="1"/>
    </xf>
    <xf numFmtId="169" fontId="7" fillId="5" borderId="0" xfId="0" applyNumberFormat="1" applyFont="1" applyFill="1" applyAlignment="1" applyProtection="1">
      <alignment horizontal="center"/>
      <protection hidden="1"/>
    </xf>
    <xf numFmtId="169" fontId="7" fillId="4" borderId="0" xfId="0" applyNumberFormat="1" applyFont="1" applyFill="1" applyProtection="1">
      <protection hidden="1"/>
    </xf>
    <xf numFmtId="169" fontId="7" fillId="0" borderId="0" xfId="1" applyNumberFormat="1" applyFont="1" applyFill="1" applyAlignment="1" applyProtection="1">
      <alignment horizontal="right"/>
      <protection hidden="1"/>
    </xf>
  </cellXfs>
  <cellStyles count="4">
    <cellStyle name="Normal" xfId="0" builtinId="0"/>
    <cellStyle name="Normal 2" xfId="2" xr:uid="{00000000-0005-0000-0000-000001000000}"/>
    <cellStyle name="Normal_SALORD98" xfId="1" xr:uid="{00000000-0005-0000-0000-000002000000}"/>
    <cellStyle name="Percent" xfId="3" builtinId="5"/>
  </cellStyles>
  <dxfs count="0"/>
  <tableStyles count="1" defaultTableStyle="TableStyleMedium2" defaultPivotStyle="PivotStyleLight16">
    <tableStyle name="Invisible" pivot="0" table="0" count="0" xr9:uid="{0AB8C9EA-1A9C-405C-9F70-B746DABC0E9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workbookViewId="0">
      <selection activeCell="U23" sqref="U23:U24"/>
    </sheetView>
  </sheetViews>
  <sheetFormatPr defaultColWidth="9.109375" defaultRowHeight="13.8" x14ac:dyDescent="0.3"/>
  <cols>
    <col min="1" max="1" width="7" style="2" customWidth="1"/>
    <col min="2" max="2" width="27.88671875" style="2" bestFit="1" customWidth="1"/>
    <col min="3" max="3" width="5.33203125" style="2" customWidth="1"/>
    <col min="4" max="4" width="5" style="2" hidden="1" customWidth="1"/>
    <col min="5" max="6" width="2.44140625" style="2" bestFit="1" customWidth="1"/>
    <col min="7" max="7" width="7.33203125" style="2" bestFit="1" customWidth="1"/>
    <col min="8" max="8" width="8.44140625" style="2" bestFit="1" customWidth="1"/>
    <col min="9" max="13" width="7" style="2" bestFit="1" customWidth="1"/>
    <col min="14" max="16384" width="9.109375" style="2"/>
  </cols>
  <sheetData>
    <row r="1" spans="1:13" x14ac:dyDescent="0.3">
      <c r="A1" s="1" t="s">
        <v>0</v>
      </c>
    </row>
    <row r="2" spans="1:13" x14ac:dyDescent="0.3">
      <c r="A2" s="1" t="s">
        <v>1</v>
      </c>
      <c r="K2" s="3"/>
      <c r="L2" s="3"/>
    </row>
    <row r="3" spans="1:13" x14ac:dyDescent="0.3">
      <c r="A3" s="4" t="s">
        <v>2</v>
      </c>
    </row>
    <row r="5" spans="1:13" ht="42.6" customHeight="1" thickBot="1" x14ac:dyDescent="0.35">
      <c r="A5" s="5" t="s">
        <v>3</v>
      </c>
      <c r="B5" s="6" t="s">
        <v>4</v>
      </c>
      <c r="C5" s="5" t="s">
        <v>5</v>
      </c>
      <c r="D5" s="7" t="s">
        <v>6</v>
      </c>
      <c r="E5" s="7" t="s">
        <v>7</v>
      </c>
      <c r="F5" s="7" t="s">
        <v>8</v>
      </c>
      <c r="G5" s="5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</row>
    <row r="6" spans="1:13" x14ac:dyDescent="0.3">
      <c r="A6" s="2" t="s">
        <v>16</v>
      </c>
      <c r="B6" s="2" t="s">
        <v>45</v>
      </c>
      <c r="C6" s="2" t="s">
        <v>17</v>
      </c>
      <c r="D6" s="2">
        <v>153</v>
      </c>
      <c r="E6" s="2">
        <v>3</v>
      </c>
      <c r="F6" s="2" t="s">
        <v>18</v>
      </c>
      <c r="G6" s="8">
        <v>16.416351824600248</v>
      </c>
      <c r="H6" s="8">
        <v>17.279433736245895</v>
      </c>
      <c r="I6" s="8">
        <v>18.143627866849855</v>
      </c>
      <c r="J6" s="8">
        <v>19.051198536827755</v>
      </c>
      <c r="K6" s="8">
        <v>20.003257965137905</v>
      </c>
      <c r="L6" s="8">
        <v>21.004255027613532</v>
      </c>
      <c r="M6" s="8">
        <v>22.054189724254631</v>
      </c>
    </row>
    <row r="7" spans="1:13" s="9" customFormat="1" x14ac:dyDescent="0.3">
      <c r="A7" s="9" t="s">
        <v>19</v>
      </c>
      <c r="B7" s="9" t="s">
        <v>20</v>
      </c>
      <c r="C7" s="9" t="s">
        <v>17</v>
      </c>
      <c r="D7" s="9">
        <v>168</v>
      </c>
      <c r="E7" s="9">
        <v>3</v>
      </c>
      <c r="F7" s="9" t="s">
        <v>18</v>
      </c>
      <c r="G7" s="8">
        <v>16.759084460067609</v>
      </c>
      <c r="H7" s="8">
        <v>17.62310939436253</v>
      </c>
      <c r="I7" s="8">
        <v>18.487303524966489</v>
      </c>
      <c r="J7" s="8">
        <v>19.394874194944386</v>
      </c>
      <c r="K7" s="8">
        <v>20.346933623254536</v>
      </c>
      <c r="L7" s="8">
        <v>21.346818466771861</v>
      </c>
      <c r="M7" s="8">
        <v>22.397865382371265</v>
      </c>
    </row>
    <row r="8" spans="1:13" s="9" customFormat="1" ht="12.75" customHeight="1" x14ac:dyDescent="0.3">
      <c r="A8" s="9" t="s">
        <v>21</v>
      </c>
      <c r="B8" s="9" t="s">
        <v>22</v>
      </c>
      <c r="C8" s="9" t="s">
        <v>17</v>
      </c>
      <c r="D8" s="9">
        <v>168</v>
      </c>
      <c r="E8" s="9">
        <v>3</v>
      </c>
      <c r="F8" s="9" t="s">
        <v>18</v>
      </c>
      <c r="G8" s="8">
        <v>16.758915263758578</v>
      </c>
      <c r="H8" s="8">
        <v>17.62310939436253</v>
      </c>
      <c r="I8" s="8">
        <v>18.487303524966489</v>
      </c>
      <c r="J8" s="8">
        <v>19.394874194944386</v>
      </c>
      <c r="K8" s="8">
        <v>20.346933623254536</v>
      </c>
      <c r="L8" s="8">
        <v>21.346818466771861</v>
      </c>
      <c r="M8" s="8">
        <v>22.397865382371265</v>
      </c>
    </row>
    <row r="9" spans="1:13" x14ac:dyDescent="0.3">
      <c r="G9" s="8"/>
      <c r="H9" s="8"/>
      <c r="I9" s="8"/>
      <c r="J9" s="8"/>
      <c r="K9" s="8"/>
      <c r="L9" s="8"/>
      <c r="M9" s="8"/>
    </row>
    <row r="10" spans="1:13" x14ac:dyDescent="0.3">
      <c r="A10" s="10" t="s">
        <v>23</v>
      </c>
      <c r="G10" s="8"/>
      <c r="H10" s="8"/>
      <c r="I10" s="8"/>
      <c r="J10" s="8"/>
      <c r="K10" s="8"/>
      <c r="L10" s="8"/>
      <c r="M10" s="8"/>
    </row>
    <row r="11" spans="1:13" x14ac:dyDescent="0.3">
      <c r="A11" s="11" t="s">
        <v>24</v>
      </c>
      <c r="B11" s="12"/>
      <c r="C11" s="13"/>
      <c r="D11" s="14"/>
      <c r="E11" s="13"/>
      <c r="F11" s="13"/>
      <c r="G11" s="13"/>
      <c r="H11" s="13"/>
      <c r="I11" s="13"/>
      <c r="J11" s="13"/>
    </row>
    <row r="12" spans="1:13" x14ac:dyDescent="0.3">
      <c r="A12" s="15">
        <v>2</v>
      </c>
      <c r="B12" s="11" t="s">
        <v>25</v>
      </c>
      <c r="C12" s="13"/>
      <c r="D12" s="14"/>
      <c r="E12" s="13"/>
      <c r="F12" s="13"/>
      <c r="G12" s="13"/>
      <c r="H12" s="13"/>
      <c r="I12" s="13"/>
      <c r="J12" s="13"/>
    </row>
    <row r="13" spans="1:13" x14ac:dyDescent="0.3">
      <c r="A13" s="15"/>
      <c r="B13" s="11"/>
      <c r="C13" s="13"/>
      <c r="D13" s="14"/>
      <c r="E13" s="13"/>
      <c r="F13" s="13"/>
      <c r="G13" s="13"/>
      <c r="H13" s="13"/>
      <c r="I13" s="13"/>
      <c r="J13" s="13"/>
    </row>
    <row r="14" spans="1:13" x14ac:dyDescent="0.3">
      <c r="A14" s="16" t="s">
        <v>26</v>
      </c>
      <c r="B14" s="13"/>
      <c r="C14" s="13"/>
      <c r="D14" s="14"/>
      <c r="E14" s="13"/>
      <c r="F14" s="13"/>
      <c r="G14" s="13"/>
      <c r="H14" s="13"/>
      <c r="I14" s="13"/>
      <c r="J14" s="13"/>
    </row>
    <row r="15" spans="1:13" x14ac:dyDescent="0.3">
      <c r="A15" s="11" t="s">
        <v>27</v>
      </c>
      <c r="B15" s="13"/>
      <c r="C15" s="13"/>
      <c r="D15" s="14"/>
      <c r="E15" s="13"/>
      <c r="F15" s="13"/>
      <c r="G15" s="13"/>
      <c r="H15" s="13"/>
      <c r="I15" s="13"/>
      <c r="J15" s="13"/>
      <c r="K15" s="13"/>
      <c r="L15" s="13"/>
    </row>
    <row r="16" spans="1:13" x14ac:dyDescent="0.3">
      <c r="A16" s="11" t="s">
        <v>46</v>
      </c>
      <c r="B16" s="13"/>
      <c r="C16" s="13"/>
      <c r="D16" s="14"/>
      <c r="E16" s="13"/>
      <c r="F16" s="13"/>
      <c r="G16" s="15"/>
      <c r="H16" s="11"/>
      <c r="I16" s="13"/>
      <c r="J16" s="13"/>
      <c r="K16" s="13"/>
      <c r="L16" s="13"/>
    </row>
    <row r="17" spans="1:12" x14ac:dyDescent="0.3">
      <c r="A17" s="2" t="s">
        <v>28</v>
      </c>
      <c r="B17" s="16"/>
      <c r="C17" s="13"/>
      <c r="D17" s="14"/>
      <c r="E17" s="13"/>
      <c r="F17" s="13"/>
      <c r="G17" s="13"/>
      <c r="H17" s="13"/>
      <c r="I17" s="13"/>
      <c r="J17" s="13"/>
      <c r="K17" s="13"/>
      <c r="L17" s="13"/>
    </row>
    <row r="18" spans="1:12" x14ac:dyDescent="0.3">
      <c r="A18" s="11"/>
      <c r="B18" s="12"/>
      <c r="C18" s="12"/>
      <c r="D18" s="17"/>
      <c r="E18" s="12"/>
      <c r="F18" s="12"/>
      <c r="G18" s="12"/>
      <c r="H18" s="12"/>
      <c r="I18" s="12"/>
      <c r="J18" s="12"/>
      <c r="K18" s="10"/>
    </row>
    <row r="19" spans="1:12" x14ac:dyDescent="0.3">
      <c r="A19" s="16" t="s">
        <v>29</v>
      </c>
      <c r="B19" s="12"/>
      <c r="C19" s="12"/>
      <c r="D19" s="17"/>
      <c r="E19" s="12"/>
      <c r="F19" s="12"/>
      <c r="G19" s="12"/>
      <c r="H19" s="12"/>
      <c r="I19" s="12"/>
      <c r="J19" s="12"/>
      <c r="K19" s="10"/>
    </row>
    <row r="20" spans="1:12" x14ac:dyDescent="0.3">
      <c r="A20" s="11" t="s">
        <v>30</v>
      </c>
      <c r="B20" s="13"/>
      <c r="C20" s="13"/>
      <c r="D20" s="14"/>
      <c r="E20" s="13"/>
      <c r="F20" s="13"/>
      <c r="G20" s="13"/>
      <c r="H20" s="13"/>
      <c r="I20" s="13"/>
      <c r="J20" s="13"/>
    </row>
    <row r="21" spans="1:12" x14ac:dyDescent="0.3">
      <c r="A21" s="11" t="s">
        <v>31</v>
      </c>
      <c r="B21" s="13"/>
      <c r="C21" s="13"/>
      <c r="D21" s="14"/>
      <c r="E21" s="13"/>
      <c r="F21" s="13"/>
      <c r="G21" s="13"/>
      <c r="H21" s="13"/>
      <c r="I21" s="13"/>
      <c r="J21" s="13"/>
    </row>
    <row r="22" spans="1:12" x14ac:dyDescent="0.3">
      <c r="A22" s="18">
        <v>0.49559520000000001</v>
      </c>
      <c r="B22" s="4" t="s">
        <v>32</v>
      </c>
      <c r="I22" s="19"/>
      <c r="J22" s="13"/>
    </row>
    <row r="23" spans="1:12" x14ac:dyDescent="0.3">
      <c r="A23" s="18">
        <v>0.67870560000000002</v>
      </c>
      <c r="B23" s="4" t="s">
        <v>33</v>
      </c>
      <c r="I23" s="19"/>
      <c r="J23" s="13"/>
    </row>
    <row r="24" spans="1:12" x14ac:dyDescent="0.3">
      <c r="A24" s="18">
        <v>0.75881639999999995</v>
      </c>
      <c r="B24" s="4" t="s">
        <v>34</v>
      </c>
      <c r="I24" s="19"/>
      <c r="J24" s="13"/>
    </row>
    <row r="25" spans="1:12" x14ac:dyDescent="0.3">
      <c r="A25" s="18">
        <v>0.90239159999999996</v>
      </c>
      <c r="B25" s="4" t="s">
        <v>35</v>
      </c>
      <c r="I25" s="19"/>
      <c r="J25" s="13"/>
    </row>
    <row r="27" spans="1:12" x14ac:dyDescent="0.3">
      <c r="A27" s="11" t="s">
        <v>36</v>
      </c>
    </row>
    <row r="28" spans="1:12" x14ac:dyDescent="0.3">
      <c r="A28" s="11" t="s">
        <v>37</v>
      </c>
    </row>
  </sheetData>
  <pageMargins left="0.75" right="0.75" top="1" bottom="1" header="0.5" footer="0.5"/>
  <pageSetup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3795-3BF6-426F-B6A6-0BE8AF8980D1}">
  <sheetPr>
    <pageSetUpPr fitToPage="1"/>
  </sheetPr>
  <dimension ref="A1:AK26"/>
  <sheetViews>
    <sheetView showGridLines="0" workbookViewId="0">
      <selection sqref="A1:XFD1"/>
    </sheetView>
  </sheetViews>
  <sheetFormatPr defaultColWidth="9.109375" defaultRowHeight="14.4" x14ac:dyDescent="0.3"/>
  <cols>
    <col min="1" max="2" width="7" style="23" customWidth="1"/>
    <col min="3" max="3" width="32.88671875" style="23" customWidth="1"/>
    <col min="4" max="4" width="5.88671875" style="23" bestFit="1" customWidth="1"/>
    <col min="5" max="5" width="5" style="23" hidden="1" customWidth="1"/>
    <col min="6" max="6" width="6.44140625" style="23" bestFit="1" customWidth="1"/>
    <col min="7" max="7" width="8.44140625" style="23" bestFit="1" customWidth="1"/>
    <col min="8" max="8" width="9" style="23" customWidth="1"/>
    <col min="9" max="9" width="8.5546875" style="23" bestFit="1" customWidth="1"/>
    <col min="10" max="14" width="7.5546875" style="23" bestFit="1" customWidth="1"/>
    <col min="15" max="15" width="1.5546875" style="23" bestFit="1" customWidth="1"/>
    <col min="16" max="16" width="12.109375" style="69" hidden="1" customWidth="1"/>
    <col min="17" max="17" width="8.109375" style="69" hidden="1" customWidth="1"/>
    <col min="18" max="26" width="0" style="71" hidden="1" customWidth="1"/>
    <col min="27" max="27" width="0" style="23" hidden="1" customWidth="1"/>
    <col min="28" max="28" width="0" style="62" hidden="1" customWidth="1"/>
    <col min="29" max="30" width="0" style="63" hidden="1" customWidth="1"/>
    <col min="31" max="37" width="0" style="62" hidden="1" customWidth="1"/>
    <col min="38" max="16384" width="9.109375" style="23"/>
  </cols>
  <sheetData>
    <row r="1" spans="1:37" s="79" customFormat="1" ht="15.6" x14ac:dyDescent="0.3">
      <c r="A1" s="79" t="s">
        <v>127</v>
      </c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B1" s="82"/>
      <c r="AC1" s="83"/>
      <c r="AD1" s="83"/>
      <c r="AE1" s="82"/>
      <c r="AF1" s="82"/>
      <c r="AG1" s="82"/>
      <c r="AH1" s="82"/>
      <c r="AI1" s="82"/>
      <c r="AJ1" s="82"/>
      <c r="AK1" s="82"/>
    </row>
    <row r="2" spans="1:37" x14ac:dyDescent="0.3">
      <c r="A2" s="22" t="s">
        <v>75</v>
      </c>
      <c r="B2" s="22"/>
      <c r="P2" s="69" t="s">
        <v>117</v>
      </c>
      <c r="Q2" s="70">
        <v>1.0249999999999999</v>
      </c>
    </row>
    <row r="3" spans="1:37" x14ac:dyDescent="0.3">
      <c r="A3" s="22" t="s">
        <v>120</v>
      </c>
      <c r="B3" s="22"/>
      <c r="L3" s="24"/>
      <c r="M3" s="24"/>
      <c r="P3" s="69" t="s">
        <v>115</v>
      </c>
      <c r="Q3" s="69" t="s">
        <v>124</v>
      </c>
    </row>
    <row r="4" spans="1:37" x14ac:dyDescent="0.3">
      <c r="A4" s="25" t="s">
        <v>2</v>
      </c>
      <c r="B4" s="25"/>
    </row>
    <row r="5" spans="1:37" x14ac:dyDescent="0.3">
      <c r="A5" s="25" t="s">
        <v>119</v>
      </c>
      <c r="B5" s="25"/>
      <c r="P5" s="78" t="s">
        <v>126</v>
      </c>
      <c r="AB5" s="62" t="s">
        <v>125</v>
      </c>
    </row>
    <row r="6" spans="1:37" x14ac:dyDescent="0.3">
      <c r="O6" s="23" t="s">
        <v>76</v>
      </c>
      <c r="T6" s="71">
        <v>4</v>
      </c>
      <c r="U6" s="71">
        <f>T6+1</f>
        <v>5</v>
      </c>
      <c r="V6" s="71">
        <f t="shared" ref="V6:Z6" si="0">U6+1</f>
        <v>6</v>
      </c>
      <c r="W6" s="71">
        <f t="shared" si="0"/>
        <v>7</v>
      </c>
      <c r="X6" s="71">
        <f t="shared" si="0"/>
        <v>8</v>
      </c>
      <c r="Y6" s="71">
        <f t="shared" si="0"/>
        <v>9</v>
      </c>
      <c r="Z6" s="71">
        <f t="shared" si="0"/>
        <v>10</v>
      </c>
    </row>
    <row r="7" spans="1:37" ht="29.4" thickBot="1" x14ac:dyDescent="0.35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73" t="s">
        <v>10</v>
      </c>
      <c r="V7" s="73" t="s">
        <v>11</v>
      </c>
      <c r="W7" s="73" t="s">
        <v>12</v>
      </c>
      <c r="X7" s="73" t="s">
        <v>13</v>
      </c>
      <c r="Y7" s="73" t="s">
        <v>14</v>
      </c>
      <c r="Z7" s="73" t="s">
        <v>15</v>
      </c>
      <c r="AB7" s="64" t="s">
        <v>3</v>
      </c>
      <c r="AC7" s="65" t="s">
        <v>108</v>
      </c>
      <c r="AD7" s="65" t="s">
        <v>66</v>
      </c>
      <c r="AE7" s="66" t="s">
        <v>9</v>
      </c>
      <c r="AF7" s="65" t="s">
        <v>10</v>
      </c>
      <c r="AG7" s="65" t="s">
        <v>11</v>
      </c>
      <c r="AH7" s="65" t="s">
        <v>12</v>
      </c>
      <c r="AI7" s="65" t="s">
        <v>13</v>
      </c>
      <c r="AJ7" s="65" t="s">
        <v>14</v>
      </c>
      <c r="AK7" s="65" t="s">
        <v>15</v>
      </c>
    </row>
    <row r="8" spans="1:37" x14ac:dyDescent="0.3">
      <c r="A8" s="23" t="s">
        <v>16</v>
      </c>
      <c r="B8" s="49" t="s">
        <v>73</v>
      </c>
      <c r="C8" s="23" t="s">
        <v>45</v>
      </c>
      <c r="D8" s="39" t="s">
        <v>17</v>
      </c>
      <c r="E8" s="39">
        <v>153</v>
      </c>
      <c r="F8" s="39">
        <v>3</v>
      </c>
      <c r="G8" s="39" t="s">
        <v>18</v>
      </c>
      <c r="H8" s="54">
        <f ca="1">T8</f>
        <v>19.038375624999993</v>
      </c>
      <c r="I8" s="54">
        <f t="shared" ref="I8:N8" ca="1" si="1">U8</f>
        <v>20.038570624999998</v>
      </c>
      <c r="J8" s="54">
        <f t="shared" ca="1" si="1"/>
        <v>21.040866874999995</v>
      </c>
      <c r="K8" s="54">
        <f t="shared" ca="1" si="1"/>
        <v>22.093593124999995</v>
      </c>
      <c r="L8" s="54">
        <f t="shared" ca="1" si="1"/>
        <v>23.197799999999997</v>
      </c>
      <c r="M8" s="54">
        <f t="shared" ca="1" si="1"/>
        <v>24.357689999999998</v>
      </c>
      <c r="N8" s="54">
        <f t="shared" ca="1" si="1"/>
        <v>25.576414999999997</v>
      </c>
      <c r="Q8" s="69" t="str">
        <f>A8</f>
        <v>02630C</v>
      </c>
      <c r="R8" s="71" t="s">
        <v>109</v>
      </c>
      <c r="S8" s="75" t="str">
        <f>B8</f>
        <v xml:space="preserve"> 02</v>
      </c>
      <c r="T8" s="76" cm="1">
        <f t="array" aca="1" ref="T8" ca="1">IF($R8="Y",VLOOKUP($Q8,INDIRECT($Q$3),T$6,0)*INDIRECT($P$2),VLOOKUP($Q8,INDIRECT($Q$3),T$6,0))</f>
        <v>19.038375624999993</v>
      </c>
      <c r="U8" s="76" cm="1">
        <f t="array" aca="1" ref="U8" ca="1">IF($R8="Y",VLOOKUP($Q8,INDIRECT($Q$3),U$6,0)*INDIRECT($P$2),VLOOKUP($Q8,INDIRECT($Q$3),U$6,0))</f>
        <v>20.038570624999998</v>
      </c>
      <c r="V8" s="76" cm="1">
        <f t="array" aca="1" ref="V8" ca="1">IF($R8="Y",VLOOKUP($Q8,INDIRECT($Q$3),V$6,0)*INDIRECT($P$2),VLOOKUP($Q8,INDIRECT($Q$3),V$6,0))</f>
        <v>21.040866874999995</v>
      </c>
      <c r="W8" s="76" cm="1">
        <f t="array" aca="1" ref="W8" ca="1">IF($R8="Y",VLOOKUP($Q8,INDIRECT($Q$3),W$6,0)*INDIRECT($P$2),VLOOKUP($Q8,INDIRECT($Q$3),W$6,0))</f>
        <v>22.093593124999995</v>
      </c>
      <c r="X8" s="76" cm="1">
        <f t="array" aca="1" ref="X8" ca="1">IF($R8="Y",VLOOKUP($Q8,INDIRECT($Q$3),X$6,0)*INDIRECT($P$2),VLOOKUP($Q8,INDIRECT($Q$3),X$6,0))</f>
        <v>23.197799999999997</v>
      </c>
      <c r="Y8" s="76" cm="1">
        <f t="array" aca="1" ref="Y8" ca="1">IF($R8="Y",VLOOKUP($Q8,INDIRECT($Q$3),Y$6,0)*INDIRECT($P$2),VLOOKUP($Q8,INDIRECT($Q$3),Y$6,0))</f>
        <v>24.357689999999998</v>
      </c>
      <c r="Z8" s="76" cm="1">
        <f t="array" aca="1" ref="Z8" ca="1">IF($R8="Y",VLOOKUP($Q8,INDIRECT($Q$3),Z$6,0)*INDIRECT($P$2),VLOOKUP($Q8,INDIRECT($Q$3),Z$6,0))</f>
        <v>25.576414999999997</v>
      </c>
      <c r="AB8" s="62" t="str">
        <f>A8</f>
        <v>02630C</v>
      </c>
      <c r="AC8" s="63" t="str">
        <f>R8</f>
        <v>Y</v>
      </c>
      <c r="AD8" s="67" t="str">
        <f>B8</f>
        <v xml:space="preserve"> 02</v>
      </c>
      <c r="AE8" s="68">
        <f ca="1">ROUND(T8,3)</f>
        <v>19.038</v>
      </c>
      <c r="AF8" s="68">
        <f ca="1">ROUND(U8,3)</f>
        <v>20.039000000000001</v>
      </c>
      <c r="AG8" s="68">
        <f t="shared" ref="AG8:AK10" ca="1" si="2">ROUND(V8,3)</f>
        <v>21.041</v>
      </c>
      <c r="AH8" s="68">
        <f t="shared" ca="1" si="2"/>
        <v>22.094000000000001</v>
      </c>
      <c r="AI8" s="68">
        <f t="shared" ca="1" si="2"/>
        <v>23.198</v>
      </c>
      <c r="AJ8" s="68">
        <f t="shared" ca="1" si="2"/>
        <v>24.358000000000001</v>
      </c>
      <c r="AK8" s="68">
        <f t="shared" ca="1" si="2"/>
        <v>25.576000000000001</v>
      </c>
    </row>
    <row r="9" spans="1:37" x14ac:dyDescent="0.3">
      <c r="A9" s="23" t="s">
        <v>19</v>
      </c>
      <c r="B9" s="49" t="s">
        <v>74</v>
      </c>
      <c r="C9" s="23" t="s">
        <v>20</v>
      </c>
      <c r="D9" s="39" t="s">
        <v>17</v>
      </c>
      <c r="E9" s="39">
        <v>168</v>
      </c>
      <c r="F9" s="39">
        <v>3</v>
      </c>
      <c r="G9" s="39" t="s">
        <v>18</v>
      </c>
      <c r="H9" s="54">
        <f t="shared" ref="H9:H10" ca="1" si="3">T9</f>
        <v>19.435511874999996</v>
      </c>
      <c r="I9" s="54">
        <f t="shared" ref="I9:I10" ca="1" si="4">U9</f>
        <v>20.436757499999999</v>
      </c>
      <c r="J9" s="54">
        <f t="shared" ref="J9:J10" ca="1" si="5">V9</f>
        <v>21.440104374999994</v>
      </c>
      <c r="K9" s="54">
        <f t="shared" ref="K9:K10" ca="1" si="6">W9</f>
        <v>22.491779999999999</v>
      </c>
      <c r="L9" s="54">
        <f t="shared" ref="L9:L10" ca="1" si="7">X9</f>
        <v>23.595986874999994</v>
      </c>
      <c r="M9" s="54">
        <f t="shared" ref="M9:M10" ca="1" si="8">Y9</f>
        <v>24.755876874999995</v>
      </c>
      <c r="N9" s="54">
        <f t="shared" ref="N9:N10" ca="1" si="9">Z9</f>
        <v>25.974601874999994</v>
      </c>
      <c r="Q9" s="69" t="str">
        <f t="shared" ref="Q9:Q10" si="10">A9</f>
        <v>05355C</v>
      </c>
      <c r="R9" s="71" t="s">
        <v>109</v>
      </c>
      <c r="S9" s="75" t="str">
        <f t="shared" ref="S9:S10" si="11">B9</f>
        <v xml:space="preserve"> 04</v>
      </c>
      <c r="T9" s="76" cm="1">
        <f t="array" aca="1" ref="T9" ca="1">IF($R9="Y",VLOOKUP($Q9,INDIRECT($Q$3),T$6,0)*INDIRECT($P$2),VLOOKUP($Q9,INDIRECT($Q$3),T$6,0))</f>
        <v>19.435511874999996</v>
      </c>
      <c r="U9" s="76" cm="1">
        <f t="array" aca="1" ref="U9" ca="1">IF($R9="Y",VLOOKUP($Q9,INDIRECT($Q$3),U$6,0)*INDIRECT($P$2),VLOOKUP($Q9,INDIRECT($Q$3),U$6,0))</f>
        <v>20.436757499999999</v>
      </c>
      <c r="V9" s="76" cm="1">
        <f t="array" aca="1" ref="V9" ca="1">IF($R9="Y",VLOOKUP($Q9,INDIRECT($Q$3),V$6,0)*INDIRECT($P$2),VLOOKUP($Q9,INDIRECT($Q$3),V$6,0))</f>
        <v>21.440104374999994</v>
      </c>
      <c r="W9" s="76" cm="1">
        <f t="array" aca="1" ref="W9" ca="1">IF($R9="Y",VLOOKUP($Q9,INDIRECT($Q$3),W$6,0)*INDIRECT($P$2),VLOOKUP($Q9,INDIRECT($Q$3),W$6,0))</f>
        <v>22.491779999999999</v>
      </c>
      <c r="X9" s="76" cm="1">
        <f t="array" aca="1" ref="X9" ca="1">IF($R9="Y",VLOOKUP($Q9,INDIRECT($Q$3),X$6,0)*INDIRECT($P$2),VLOOKUP($Q9,INDIRECT($Q$3),X$6,0))</f>
        <v>23.595986874999994</v>
      </c>
      <c r="Y9" s="76" cm="1">
        <f t="array" aca="1" ref="Y9" ca="1">IF($R9="Y",VLOOKUP($Q9,INDIRECT($Q$3),Y$6,0)*INDIRECT($P$2),VLOOKUP($Q9,INDIRECT($Q$3),Y$6,0))</f>
        <v>24.755876874999995</v>
      </c>
      <c r="Z9" s="76" cm="1">
        <f t="array" aca="1" ref="Z9" ca="1">IF($R9="Y",VLOOKUP($Q9,INDIRECT($Q$3),Z$6,0)*INDIRECT($P$2),VLOOKUP($Q9,INDIRECT($Q$3),Z$6,0))</f>
        <v>25.974601874999994</v>
      </c>
      <c r="AB9" s="62" t="str">
        <f t="shared" ref="AB9:AB10" si="12">A9</f>
        <v>05355C</v>
      </c>
      <c r="AC9" s="63" t="str">
        <f t="shared" ref="AC9:AC10" si="13">R9</f>
        <v>Y</v>
      </c>
      <c r="AD9" s="67" t="str">
        <f t="shared" ref="AD9:AD10" si="14">B9</f>
        <v xml:space="preserve"> 04</v>
      </c>
      <c r="AE9" s="68">
        <f t="shared" ref="AE9:AF10" ca="1" si="15">ROUND(T9,3)</f>
        <v>19.436</v>
      </c>
      <c r="AF9" s="68">
        <f t="shared" ca="1" si="15"/>
        <v>20.437000000000001</v>
      </c>
      <c r="AG9" s="68">
        <f t="shared" ca="1" si="2"/>
        <v>21.44</v>
      </c>
      <c r="AH9" s="68">
        <f t="shared" ca="1" si="2"/>
        <v>22.492000000000001</v>
      </c>
      <c r="AI9" s="68">
        <f t="shared" ca="1" si="2"/>
        <v>23.596</v>
      </c>
      <c r="AJ9" s="68">
        <f t="shared" ca="1" si="2"/>
        <v>24.756</v>
      </c>
      <c r="AK9" s="68">
        <f t="shared" ca="1" si="2"/>
        <v>25.975000000000001</v>
      </c>
    </row>
    <row r="10" spans="1:37" x14ac:dyDescent="0.3">
      <c r="A10" s="23" t="s">
        <v>21</v>
      </c>
      <c r="B10" s="49" t="s">
        <v>74</v>
      </c>
      <c r="C10" s="23" t="s">
        <v>22</v>
      </c>
      <c r="D10" s="39" t="s">
        <v>17</v>
      </c>
      <c r="E10" s="39">
        <v>168</v>
      </c>
      <c r="F10" s="39">
        <v>3</v>
      </c>
      <c r="G10" s="39" t="s">
        <v>18</v>
      </c>
      <c r="H10" s="54">
        <f t="shared" ca="1" si="3"/>
        <v>19.435511874999996</v>
      </c>
      <c r="I10" s="54">
        <f t="shared" ca="1" si="4"/>
        <v>20.436757499999999</v>
      </c>
      <c r="J10" s="54">
        <f t="shared" ca="1" si="5"/>
        <v>21.440104374999994</v>
      </c>
      <c r="K10" s="54">
        <f t="shared" ca="1" si="6"/>
        <v>22.491779999999999</v>
      </c>
      <c r="L10" s="54">
        <f t="shared" ca="1" si="7"/>
        <v>23.595986874999994</v>
      </c>
      <c r="M10" s="54">
        <f t="shared" ca="1" si="8"/>
        <v>24.755876874999995</v>
      </c>
      <c r="N10" s="54">
        <f t="shared" ca="1" si="9"/>
        <v>25.974601874999994</v>
      </c>
      <c r="Q10" s="69" t="str">
        <f t="shared" si="10"/>
        <v>04185C</v>
      </c>
      <c r="R10" s="71" t="s">
        <v>109</v>
      </c>
      <c r="S10" s="75" t="str">
        <f t="shared" si="11"/>
        <v xml:space="preserve"> 04</v>
      </c>
      <c r="T10" s="76" cm="1">
        <f t="array" aca="1" ref="T10" ca="1">IF($R10="Y",VLOOKUP($Q10,INDIRECT($Q$3),T$6,0)*INDIRECT($P$2),VLOOKUP($Q10,INDIRECT($Q$3),T$6,0))</f>
        <v>19.435511874999996</v>
      </c>
      <c r="U10" s="76" cm="1">
        <f t="array" aca="1" ref="U10" ca="1">IF($R10="Y",VLOOKUP($Q10,INDIRECT($Q$3),U$6,0)*INDIRECT($P$2),VLOOKUP($Q10,INDIRECT($Q$3),U$6,0))</f>
        <v>20.436757499999999</v>
      </c>
      <c r="V10" s="76" cm="1">
        <f t="array" aca="1" ref="V10" ca="1">IF($R10="Y",VLOOKUP($Q10,INDIRECT($Q$3),V$6,0)*INDIRECT($P$2),VLOOKUP($Q10,INDIRECT($Q$3),V$6,0))</f>
        <v>21.440104374999994</v>
      </c>
      <c r="W10" s="76" cm="1">
        <f t="array" aca="1" ref="W10" ca="1">IF($R10="Y",VLOOKUP($Q10,INDIRECT($Q$3),W$6,0)*INDIRECT($P$2),VLOOKUP($Q10,INDIRECT($Q$3),W$6,0))</f>
        <v>22.491779999999999</v>
      </c>
      <c r="X10" s="76" cm="1">
        <f t="array" aca="1" ref="X10" ca="1">IF($R10="Y",VLOOKUP($Q10,INDIRECT($Q$3),X$6,0)*INDIRECT($P$2),VLOOKUP($Q10,INDIRECT($Q$3),X$6,0))</f>
        <v>23.595986874999994</v>
      </c>
      <c r="Y10" s="76" cm="1">
        <f t="array" aca="1" ref="Y10" ca="1">IF($R10="Y",VLOOKUP($Q10,INDIRECT($Q$3),Y$6,0)*INDIRECT($P$2),VLOOKUP($Q10,INDIRECT($Q$3),Y$6,0))</f>
        <v>24.755876874999995</v>
      </c>
      <c r="Z10" s="76" cm="1">
        <f t="array" aca="1" ref="Z10" ca="1">IF($R10="Y",VLOOKUP($Q10,INDIRECT($Q$3),Z$6,0)*INDIRECT($P$2),VLOOKUP($Q10,INDIRECT($Q$3),Z$6,0))</f>
        <v>25.974601874999994</v>
      </c>
      <c r="AB10" s="62" t="str">
        <f t="shared" si="12"/>
        <v>04185C</v>
      </c>
      <c r="AC10" s="63" t="str">
        <f t="shared" si="13"/>
        <v>Y</v>
      </c>
      <c r="AD10" s="67" t="str">
        <f t="shared" si="14"/>
        <v xml:space="preserve"> 04</v>
      </c>
      <c r="AE10" s="68">
        <f t="shared" ca="1" si="15"/>
        <v>19.436</v>
      </c>
      <c r="AF10" s="68">
        <f t="shared" ca="1" si="15"/>
        <v>20.437000000000001</v>
      </c>
      <c r="AG10" s="68">
        <f t="shared" ca="1" si="2"/>
        <v>21.44</v>
      </c>
      <c r="AH10" s="68">
        <f t="shared" ca="1" si="2"/>
        <v>22.492000000000001</v>
      </c>
      <c r="AI10" s="68">
        <f t="shared" ca="1" si="2"/>
        <v>23.596</v>
      </c>
      <c r="AJ10" s="68">
        <f t="shared" ca="1" si="2"/>
        <v>24.756</v>
      </c>
      <c r="AK10" s="68">
        <f t="shared" ca="1" si="2"/>
        <v>25.975000000000001</v>
      </c>
    </row>
    <row r="11" spans="1:37" x14ac:dyDescent="0.3">
      <c r="H11" s="60"/>
      <c r="I11" s="60"/>
      <c r="J11" s="60"/>
      <c r="K11" s="60"/>
      <c r="L11" s="60"/>
      <c r="M11" s="60"/>
      <c r="N11" s="60"/>
    </row>
    <row r="12" spans="1:37" x14ac:dyDescent="0.3">
      <c r="A12" s="20" t="s">
        <v>23</v>
      </c>
      <c r="B12" s="20"/>
      <c r="H12" s="61"/>
      <c r="I12" s="61"/>
      <c r="J12" s="61"/>
      <c r="K12" s="61"/>
      <c r="L12" s="61"/>
      <c r="M12" s="61"/>
      <c r="N12" s="61"/>
    </row>
    <row r="13" spans="1:37" x14ac:dyDescent="0.3">
      <c r="A13" s="31" t="str">
        <f ca="1">"When an employee is assigned as a lead worker, the employee shall receive an additional "&amp;TEXT(T13,"$#,###.000")&amp;" oer hour for all hours worked."</f>
        <v>When an employee is assigned as a lead worker, the employee shall receive an additional $2.320 oer hour for all hours worked.</v>
      </c>
      <c r="B13" s="31"/>
      <c r="C13" s="32"/>
      <c r="D13" s="33"/>
      <c r="E13" s="34"/>
      <c r="F13" s="33"/>
      <c r="G13" s="33"/>
      <c r="H13" s="33"/>
      <c r="I13" s="33"/>
      <c r="J13" s="33"/>
      <c r="K13" s="33"/>
      <c r="Q13" s="69" t="s">
        <v>102</v>
      </c>
      <c r="R13" s="71" t="s">
        <v>109</v>
      </c>
      <c r="T13" s="76" cm="1">
        <f t="array" aca="1" ref="T13" ca="1">IF($R13="Y",VLOOKUP($Q13,INDIRECT($Q$3),T$6,0)*INDIRECT($P$2),VLOOKUP($Q13,INDIRECT($Q$3),T$6,0))</f>
        <v>2.3197799999999997</v>
      </c>
      <c r="AB13" s="62" t="str">
        <f>Q13</f>
        <v>CVTLDS</v>
      </c>
      <c r="AC13" s="63" t="str">
        <f>R13</f>
        <v>Y</v>
      </c>
      <c r="AE13" s="68">
        <f t="shared" ref="AE13" ca="1" si="16">ROUND(T13,3)</f>
        <v>2.3199999999999998</v>
      </c>
    </row>
    <row r="14" spans="1:37" x14ac:dyDescent="0.3">
      <c r="A14" s="31"/>
      <c r="B14" s="3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37" x14ac:dyDescent="0.3">
      <c r="A15" s="21" t="s">
        <v>29</v>
      </c>
      <c r="B15" s="21"/>
      <c r="C15" s="32"/>
      <c r="D15" s="32"/>
      <c r="E15" s="36"/>
      <c r="F15" s="32"/>
      <c r="G15" s="32"/>
      <c r="H15" s="32"/>
      <c r="I15" s="32"/>
      <c r="J15" s="32"/>
      <c r="K15" s="32"/>
      <c r="L15" s="20"/>
    </row>
    <row r="16" spans="1:37" x14ac:dyDescent="0.3">
      <c r="A16" s="31" t="s">
        <v>41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31" x14ac:dyDescent="0.3">
      <c r="A17" s="31" t="s">
        <v>42</v>
      </c>
      <c r="B17" s="31"/>
      <c r="C17" s="33"/>
      <c r="D17" s="33"/>
      <c r="E17" s="34"/>
      <c r="F17" s="33"/>
      <c r="G17" s="33"/>
      <c r="H17" s="33"/>
      <c r="I17" s="33"/>
      <c r="J17" s="33"/>
      <c r="K17" s="33"/>
    </row>
    <row r="18" spans="1:31" x14ac:dyDescent="0.3">
      <c r="A18" s="50">
        <f ca="1">T18</f>
        <v>0.54737562499999992</v>
      </c>
      <c r="B18" s="25" t="s">
        <v>32</v>
      </c>
      <c r="I18" s="59"/>
      <c r="J18" s="38"/>
      <c r="K18" s="33"/>
      <c r="Q18" s="69" t="s">
        <v>110</v>
      </c>
      <c r="R18" s="71" t="s">
        <v>109</v>
      </c>
      <c r="T18" s="76" cm="1">
        <f t="array" aca="1" ref="T18" ca="1">IF($R18="Y",VLOOKUP($Q18,INDIRECT($Q$3),T$6,0)*INDIRECT($P$2),VLOOKUP($Q18,INDIRECT($Q$3),T$6,0))</f>
        <v>0.54737562499999992</v>
      </c>
      <c r="AB18" s="62" t="str">
        <f>Q18</f>
        <v>10th</v>
      </c>
      <c r="AC18" s="63" t="str">
        <f t="shared" ref="AC18:AC21" si="17">R18</f>
        <v>Y</v>
      </c>
      <c r="AE18" s="68">
        <f t="shared" ref="AE18:AE21" ca="1" si="18">ROUND(T18,3)</f>
        <v>0.54700000000000004</v>
      </c>
    </row>
    <row r="19" spans="1:31" x14ac:dyDescent="0.3">
      <c r="A19" s="50">
        <f t="shared" ref="A19:A21" ca="1" si="19">T19</f>
        <v>0.75434874999999979</v>
      </c>
      <c r="B19" s="25" t="s">
        <v>33</v>
      </c>
      <c r="I19" s="59"/>
      <c r="J19" s="38"/>
      <c r="K19" s="33"/>
      <c r="Q19" s="69" t="s">
        <v>111</v>
      </c>
      <c r="R19" s="71" t="s">
        <v>109</v>
      </c>
      <c r="T19" s="76" cm="1">
        <f t="array" aca="1" ref="T19" ca="1">IF($R19="Y",VLOOKUP($Q19,INDIRECT($Q$3),T$6,0)*INDIRECT($P$2),VLOOKUP($Q19,INDIRECT($Q$3),T$6,0))</f>
        <v>0.75434874999999979</v>
      </c>
      <c r="AB19" s="62" t="str">
        <f t="shared" ref="AB19:AB21" si="20">Q19</f>
        <v>15th</v>
      </c>
      <c r="AC19" s="63" t="str">
        <f t="shared" si="17"/>
        <v>Y</v>
      </c>
      <c r="AE19" s="68">
        <f t="shared" ca="1" si="18"/>
        <v>0.754</v>
      </c>
    </row>
    <row r="20" spans="1:31" x14ac:dyDescent="0.3">
      <c r="A20" s="50">
        <f t="shared" ca="1" si="19"/>
        <v>0.83734812499999989</v>
      </c>
      <c r="B20" s="25" t="s">
        <v>34</v>
      </c>
      <c r="I20" s="59"/>
      <c r="J20" s="38"/>
      <c r="K20" s="33"/>
      <c r="Q20" s="69" t="s">
        <v>112</v>
      </c>
      <c r="R20" s="71" t="s">
        <v>109</v>
      </c>
      <c r="T20" s="76" cm="1">
        <f t="array" aca="1" ref="T20" ca="1">IF($R20="Y",VLOOKUP($Q20,INDIRECT($Q$3),T$6,0)*INDIRECT($P$2),VLOOKUP($Q20,INDIRECT($Q$3),T$6,0))</f>
        <v>0.83734812499999989</v>
      </c>
      <c r="AB20" s="62" t="str">
        <f t="shared" si="20"/>
        <v>20th</v>
      </c>
      <c r="AC20" s="63" t="str">
        <f t="shared" si="17"/>
        <v>Y</v>
      </c>
      <c r="AE20" s="68">
        <f t="shared" ca="1" si="18"/>
        <v>0.83699999999999997</v>
      </c>
    </row>
    <row r="21" spans="1:31" x14ac:dyDescent="0.3">
      <c r="A21" s="50">
        <f t="shared" ca="1" si="19"/>
        <v>0.99599249999999984</v>
      </c>
      <c r="B21" s="25" t="s">
        <v>35</v>
      </c>
      <c r="I21" s="59"/>
      <c r="J21" s="38"/>
      <c r="K21" s="33"/>
      <c r="Q21" s="69" t="s">
        <v>113</v>
      </c>
      <c r="R21" s="71" t="s">
        <v>109</v>
      </c>
      <c r="T21" s="76" cm="1">
        <f t="array" aca="1" ref="T21" ca="1">IF($R21="Y",VLOOKUP($Q21,INDIRECT($Q$3),T$6,0)*INDIRECT($P$2),VLOOKUP($Q21,INDIRECT($Q$3),T$6,0))</f>
        <v>0.99599249999999984</v>
      </c>
      <c r="AB21" s="62" t="str">
        <f t="shared" si="20"/>
        <v>25th</v>
      </c>
      <c r="AC21" s="63" t="str">
        <f t="shared" si="17"/>
        <v>Y</v>
      </c>
      <c r="AE21" s="68">
        <f t="shared" ca="1" si="18"/>
        <v>0.996</v>
      </c>
    </row>
    <row r="22" spans="1:31" x14ac:dyDescent="0.3">
      <c r="A22" s="37"/>
      <c r="B22" s="37"/>
      <c r="C22" s="25"/>
      <c r="J22" s="38"/>
      <c r="K22" s="33"/>
    </row>
    <row r="23" spans="1:31" x14ac:dyDescent="0.3">
      <c r="A23" s="20" t="s">
        <v>39</v>
      </c>
      <c r="B23" s="20"/>
    </row>
    <row r="24" spans="1:31" x14ac:dyDescent="0.3">
      <c r="A24" s="31" t="s">
        <v>38</v>
      </c>
      <c r="B24" s="31"/>
    </row>
    <row r="25" spans="1:31" x14ac:dyDescent="0.3">
      <c r="A25" s="31" t="str">
        <f ca="1">"and 2:00 a.m. shall be paid an additional "&amp;TEXT(T25,"$#.000")&amp;" per hour for all hours worked on such shift."</f>
        <v>and 2:00 a.m. shall be paid an additional $1.429 per hour for all hours worked on such shift.</v>
      </c>
      <c r="B25" s="31"/>
      <c r="Q25" s="77" t="s">
        <v>100</v>
      </c>
      <c r="R25" s="71" t="s">
        <v>109</v>
      </c>
      <c r="T25" s="76" cm="1">
        <f t="array" aca="1" ref="T25" ca="1">IF($R25="Y",VLOOKUP($Q25,INDIRECT($Q$3),T$6,0)*INDIRECT($P$2),VLOOKUP($Q25,INDIRECT($Q$3),T$6,0))</f>
        <v>1.4288499999999997</v>
      </c>
      <c r="AB25" s="62" t="str">
        <f t="shared" ref="AB25:AC26" si="21">Q25</f>
        <v>CVTAM1</v>
      </c>
      <c r="AC25" s="63" t="str">
        <f t="shared" si="21"/>
        <v>Y</v>
      </c>
      <c r="AE25" s="68">
        <f t="shared" ref="AE25:AE26" ca="1" si="22">ROUND(T25,3)</f>
        <v>1.429</v>
      </c>
    </row>
    <row r="26" spans="1:31" x14ac:dyDescent="0.3">
      <c r="Q26" s="77" t="s">
        <v>98</v>
      </c>
      <c r="R26" s="71" t="s">
        <v>109</v>
      </c>
      <c r="T26" s="76" cm="1">
        <f t="array" aca="1" ref="T26" ca="1">IF($R26="Y",VLOOKUP($Q26,INDIRECT($Q$3),T$6,0)*INDIRECT($P$2),VLOOKUP($Q26,INDIRECT($Q$3),T$6,0))</f>
        <v>1.4288499999999997</v>
      </c>
      <c r="AB26" s="62" t="str">
        <f t="shared" si="21"/>
        <v>CVTEVE</v>
      </c>
      <c r="AC26" s="63" t="str">
        <f t="shared" si="21"/>
        <v>Y</v>
      </c>
      <c r="AE26" s="68">
        <f t="shared" ca="1" si="22"/>
        <v>1.429</v>
      </c>
    </row>
  </sheetData>
  <sheetProtection sheet="1" objects="1" scenarios="1"/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1485-FF2F-4EAF-89C9-A45BBC1567F8}">
  <sheetPr>
    <tabColor theme="1"/>
    <pageSetUpPr fitToPage="1"/>
  </sheetPr>
  <dimension ref="A1:AK26"/>
  <sheetViews>
    <sheetView showGridLines="0" workbookViewId="0">
      <selection activeCell="A10" sqref="A10"/>
    </sheetView>
  </sheetViews>
  <sheetFormatPr defaultColWidth="9.109375" defaultRowHeight="14.4" x14ac:dyDescent="0.3"/>
  <cols>
    <col min="1" max="2" width="7" style="23" customWidth="1"/>
    <col min="3" max="3" width="32.88671875" style="23" customWidth="1"/>
    <col min="4" max="4" width="5.88671875" style="23" bestFit="1" customWidth="1"/>
    <col min="5" max="5" width="5" style="23" hidden="1" customWidth="1"/>
    <col min="6" max="6" width="6.44140625" style="23" bestFit="1" customWidth="1"/>
    <col min="7" max="7" width="8.44140625" style="23" bestFit="1" customWidth="1"/>
    <col min="8" max="8" width="9" style="23" customWidth="1"/>
    <col min="9" max="9" width="8.5546875" style="23" bestFit="1" customWidth="1"/>
    <col min="10" max="14" width="7.5546875" style="23" bestFit="1" customWidth="1"/>
    <col min="15" max="15" width="1.5546875" style="23" bestFit="1" customWidth="1"/>
    <col min="16" max="16" width="14" style="69" bestFit="1" customWidth="1"/>
    <col min="17" max="17" width="9" style="69" bestFit="1" customWidth="1"/>
    <col min="18" max="18" width="7.5546875" style="71" bestFit="1" customWidth="1"/>
    <col min="19" max="19" width="9.44140625" style="71" bestFit="1" customWidth="1"/>
    <col min="20" max="20" width="8.5546875" style="71" bestFit="1" customWidth="1"/>
    <col min="21" max="26" width="7.5546875" style="71" bestFit="1" customWidth="1"/>
    <col min="27" max="27" width="9.109375" style="23" hidden="1" customWidth="1"/>
    <col min="28" max="28" width="13.5546875" style="62" bestFit="1" customWidth="1"/>
    <col min="29" max="29" width="7.5546875" style="63" bestFit="1" customWidth="1"/>
    <col min="30" max="30" width="9.44140625" style="63" bestFit="1" customWidth="1"/>
    <col min="31" max="31" width="8.5546875" style="62" bestFit="1" customWidth="1"/>
    <col min="32" max="37" width="7.5546875" style="62" bestFit="1" customWidth="1"/>
    <col min="38" max="16384" width="9.109375" style="23"/>
  </cols>
  <sheetData>
    <row r="1" spans="1:37" s="79" customFormat="1" ht="15.6" x14ac:dyDescent="0.3">
      <c r="A1" s="79" t="s">
        <v>127</v>
      </c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B1" s="82"/>
      <c r="AC1" s="83"/>
      <c r="AD1" s="83"/>
      <c r="AE1" s="82"/>
      <c r="AF1" s="82"/>
      <c r="AG1" s="82"/>
      <c r="AH1" s="82"/>
      <c r="AI1" s="82"/>
      <c r="AJ1" s="82"/>
      <c r="AK1" s="82"/>
    </row>
    <row r="2" spans="1:37" x14ac:dyDescent="0.3">
      <c r="A2" s="22" t="s">
        <v>75</v>
      </c>
      <c r="B2" s="22"/>
      <c r="P2" s="69" t="s">
        <v>122</v>
      </c>
      <c r="Q2" s="70">
        <v>1.0449999999999999</v>
      </c>
    </row>
    <row r="3" spans="1:37" x14ac:dyDescent="0.3">
      <c r="A3" s="22" t="s">
        <v>121</v>
      </c>
      <c r="B3" s="22"/>
      <c r="L3" s="24"/>
      <c r="M3" s="24"/>
      <c r="P3" s="69" t="s">
        <v>115</v>
      </c>
      <c r="Q3" s="69" t="s">
        <v>123</v>
      </c>
    </row>
    <row r="4" spans="1:37" x14ac:dyDescent="0.3">
      <c r="A4" s="25" t="s">
        <v>2</v>
      </c>
      <c r="B4" s="25"/>
    </row>
    <row r="5" spans="1:37" x14ac:dyDescent="0.3">
      <c r="A5" s="25" t="s">
        <v>119</v>
      </c>
      <c r="B5" s="25"/>
      <c r="P5" s="78" t="s">
        <v>126</v>
      </c>
      <c r="AB5" s="62" t="s">
        <v>125</v>
      </c>
    </row>
    <row r="6" spans="1:37" x14ac:dyDescent="0.3">
      <c r="O6" s="23" t="s">
        <v>76</v>
      </c>
      <c r="T6" s="71">
        <v>4</v>
      </c>
      <c r="U6" s="71">
        <f>T6+1</f>
        <v>5</v>
      </c>
      <c r="V6" s="71">
        <f t="shared" ref="V6:Z6" si="0">U6+1</f>
        <v>6</v>
      </c>
      <c r="W6" s="71">
        <f t="shared" si="0"/>
        <v>7</v>
      </c>
      <c r="X6" s="71">
        <f t="shared" si="0"/>
        <v>8</v>
      </c>
      <c r="Y6" s="71">
        <f t="shared" si="0"/>
        <v>9</v>
      </c>
      <c r="Z6" s="71">
        <f t="shared" si="0"/>
        <v>10</v>
      </c>
    </row>
    <row r="7" spans="1:37" ht="29.4" thickBot="1" x14ac:dyDescent="0.35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73" t="s">
        <v>10</v>
      </c>
      <c r="V7" s="73" t="s">
        <v>11</v>
      </c>
      <c r="W7" s="73" t="s">
        <v>12</v>
      </c>
      <c r="X7" s="73" t="s">
        <v>13</v>
      </c>
      <c r="Y7" s="73" t="s">
        <v>14</v>
      </c>
      <c r="Z7" s="73" t="s">
        <v>15</v>
      </c>
      <c r="AB7" s="64" t="s">
        <v>3</v>
      </c>
      <c r="AC7" s="65" t="s">
        <v>108</v>
      </c>
      <c r="AD7" s="65" t="s">
        <v>66</v>
      </c>
      <c r="AE7" s="66" t="s">
        <v>9</v>
      </c>
      <c r="AF7" s="65" t="s">
        <v>10</v>
      </c>
      <c r="AG7" s="65" t="s">
        <v>11</v>
      </c>
      <c r="AH7" s="65" t="s">
        <v>12</v>
      </c>
      <c r="AI7" s="65" t="s">
        <v>13</v>
      </c>
      <c r="AJ7" s="65" t="s">
        <v>14</v>
      </c>
      <c r="AK7" s="65" t="s">
        <v>15</v>
      </c>
    </row>
    <row r="8" spans="1:37" x14ac:dyDescent="0.3">
      <c r="A8" s="23" t="s">
        <v>16</v>
      </c>
      <c r="B8" s="49" t="s">
        <v>73</v>
      </c>
      <c r="C8" s="23" t="s">
        <v>45</v>
      </c>
      <c r="D8" s="39" t="s">
        <v>17</v>
      </c>
      <c r="E8" s="39">
        <v>153</v>
      </c>
      <c r="F8" s="39">
        <v>3</v>
      </c>
      <c r="G8" s="39" t="s">
        <v>18</v>
      </c>
      <c r="H8" s="54">
        <f ca="1">T8</f>
        <v>19.89510252812499</v>
      </c>
      <c r="I8" s="54">
        <f t="shared" ref="I8:N8" ca="1" si="1">U8</f>
        <v>20.940306303124999</v>
      </c>
      <c r="J8" s="54">
        <f t="shared" ca="1" si="1"/>
        <v>21.987705884374993</v>
      </c>
      <c r="K8" s="54">
        <f t="shared" ca="1" si="1"/>
        <v>23.087804815624992</v>
      </c>
      <c r="L8" s="54">
        <f t="shared" ca="1" si="1"/>
        <v>24.241700999999996</v>
      </c>
      <c r="M8" s="54">
        <f t="shared" ca="1" si="1"/>
        <v>25.453786049999998</v>
      </c>
      <c r="N8" s="54">
        <f t="shared" ca="1" si="1"/>
        <v>26.727353674999996</v>
      </c>
      <c r="Q8" s="69" t="str">
        <f>A8</f>
        <v>02630C</v>
      </c>
      <c r="R8" s="71" t="s">
        <v>109</v>
      </c>
      <c r="S8" s="75" t="str">
        <f>B8</f>
        <v xml:space="preserve"> 02</v>
      </c>
      <c r="T8" s="76" cm="1">
        <f t="array" aca="1" ref="T8" ca="1">IF($R8="Y",VLOOKUP($Q8,INDIRECT($Q$3),T$6,0)*INDIRECT($P$2),VLOOKUP($Q8,INDIRECT($Q$3),T$6,0))</f>
        <v>19.89510252812499</v>
      </c>
      <c r="U8" s="76" cm="1">
        <f t="array" aca="1" ref="U8" ca="1">IF($R8="Y",VLOOKUP($Q8,INDIRECT($Q$3),U$6,0)*INDIRECT($P$2),VLOOKUP($Q8,INDIRECT($Q$3),U$6,0))</f>
        <v>20.940306303124999</v>
      </c>
      <c r="V8" s="76" cm="1">
        <f t="array" aca="1" ref="V8" ca="1">IF($R8="Y",VLOOKUP($Q8,INDIRECT($Q$3),V$6,0)*INDIRECT($P$2),VLOOKUP($Q8,INDIRECT($Q$3),V$6,0))</f>
        <v>21.987705884374993</v>
      </c>
      <c r="W8" s="76" cm="1">
        <f t="array" aca="1" ref="W8" ca="1">IF($R8="Y",VLOOKUP($Q8,INDIRECT($Q$3),W$6,0)*INDIRECT($P$2),VLOOKUP($Q8,INDIRECT($Q$3),W$6,0))</f>
        <v>23.087804815624992</v>
      </c>
      <c r="X8" s="76" cm="1">
        <f t="array" aca="1" ref="X8" ca="1">IF($R8="Y",VLOOKUP($Q8,INDIRECT($Q$3),X$6,0)*INDIRECT($P$2),VLOOKUP($Q8,INDIRECT($Q$3),X$6,0))</f>
        <v>24.241700999999996</v>
      </c>
      <c r="Y8" s="76" cm="1">
        <f t="array" aca="1" ref="Y8" ca="1">IF($R8="Y",VLOOKUP($Q8,INDIRECT($Q$3),Y$6,0)*INDIRECT($P$2),VLOOKUP($Q8,INDIRECT($Q$3),Y$6,0))</f>
        <v>25.453786049999998</v>
      </c>
      <c r="Z8" s="76" cm="1">
        <f t="array" aca="1" ref="Z8" ca="1">IF($R8="Y",VLOOKUP($Q8,INDIRECT($Q$3),Z$6,0)*INDIRECT($P$2),VLOOKUP($Q8,INDIRECT($Q$3),Z$6,0))</f>
        <v>26.727353674999996</v>
      </c>
      <c r="AB8" s="62" t="str">
        <f>A8</f>
        <v>02630C</v>
      </c>
      <c r="AC8" s="63" t="str">
        <f>R8</f>
        <v>Y</v>
      </c>
      <c r="AD8" s="67" t="str">
        <f>B8</f>
        <v xml:space="preserve"> 02</v>
      </c>
      <c r="AE8" s="68">
        <f ca="1">ROUND(T8,3)</f>
        <v>19.895</v>
      </c>
      <c r="AF8" s="68">
        <f ca="1">ROUND(U8,3)</f>
        <v>20.94</v>
      </c>
      <c r="AG8" s="68">
        <f t="shared" ref="AG8:AK10" ca="1" si="2">ROUND(V8,3)</f>
        <v>21.988</v>
      </c>
      <c r="AH8" s="68">
        <f t="shared" ca="1" si="2"/>
        <v>23.088000000000001</v>
      </c>
      <c r="AI8" s="68">
        <f t="shared" ca="1" si="2"/>
        <v>24.242000000000001</v>
      </c>
      <c r="AJ8" s="68">
        <f t="shared" ca="1" si="2"/>
        <v>25.454000000000001</v>
      </c>
      <c r="AK8" s="68">
        <f t="shared" ca="1" si="2"/>
        <v>26.727</v>
      </c>
    </row>
    <row r="9" spans="1:37" x14ac:dyDescent="0.3">
      <c r="A9" s="23" t="s">
        <v>19</v>
      </c>
      <c r="B9" s="49" t="s">
        <v>74</v>
      </c>
      <c r="C9" s="23" t="s">
        <v>20</v>
      </c>
      <c r="D9" s="39" t="s">
        <v>17</v>
      </c>
      <c r="E9" s="39">
        <v>168</v>
      </c>
      <c r="F9" s="39">
        <v>3</v>
      </c>
      <c r="G9" s="39" t="s">
        <v>18</v>
      </c>
      <c r="H9" s="54">
        <f t="shared" ref="H9:H10" ca="1" si="3">T9</f>
        <v>20.310109909374994</v>
      </c>
      <c r="I9" s="54">
        <f t="shared" ref="I9:I10" ca="1" si="4">U9</f>
        <v>21.356411587499998</v>
      </c>
      <c r="J9" s="54">
        <f t="shared" ref="J9:J10" ca="1" si="5">V9</f>
        <v>22.404909071874993</v>
      </c>
      <c r="K9" s="54">
        <f t="shared" ref="K9:K10" ca="1" si="6">W9</f>
        <v>23.503910099999995</v>
      </c>
      <c r="L9" s="54">
        <f t="shared" ref="L9:L10" ca="1" si="7">X9</f>
        <v>24.657806284374992</v>
      </c>
      <c r="M9" s="54">
        <f t="shared" ref="M9:M10" ca="1" si="8">Y9</f>
        <v>25.869891334374994</v>
      </c>
      <c r="N9" s="54">
        <f t="shared" ref="N9:N10" ca="1" si="9">Z9</f>
        <v>27.143458959374993</v>
      </c>
      <c r="Q9" s="69" t="str">
        <f t="shared" ref="Q9:Q10" si="10">A9</f>
        <v>05355C</v>
      </c>
      <c r="R9" s="71" t="s">
        <v>109</v>
      </c>
      <c r="S9" s="75" t="str">
        <f t="shared" ref="S9:S10" si="11">B9</f>
        <v xml:space="preserve"> 04</v>
      </c>
      <c r="T9" s="76" cm="1">
        <f t="array" aca="1" ref="T9" ca="1">IF($R9="Y",VLOOKUP($Q9,INDIRECT($Q$3),T$6,0)*INDIRECT($P$2),VLOOKUP($Q9,INDIRECT($Q$3),T$6,0))</f>
        <v>20.310109909374994</v>
      </c>
      <c r="U9" s="76" cm="1">
        <f t="array" aca="1" ref="U9" ca="1">IF($R9="Y",VLOOKUP($Q9,INDIRECT($Q$3),U$6,0)*INDIRECT($P$2),VLOOKUP($Q9,INDIRECT($Q$3),U$6,0))</f>
        <v>21.356411587499998</v>
      </c>
      <c r="V9" s="76" cm="1">
        <f t="array" aca="1" ref="V9" ca="1">IF($R9="Y",VLOOKUP($Q9,INDIRECT($Q$3),V$6,0)*INDIRECT($P$2),VLOOKUP($Q9,INDIRECT($Q$3),V$6,0))</f>
        <v>22.404909071874993</v>
      </c>
      <c r="W9" s="76" cm="1">
        <f t="array" aca="1" ref="W9" ca="1">IF($R9="Y",VLOOKUP($Q9,INDIRECT($Q$3),W$6,0)*INDIRECT($P$2),VLOOKUP($Q9,INDIRECT($Q$3),W$6,0))</f>
        <v>23.503910099999995</v>
      </c>
      <c r="X9" s="76" cm="1">
        <f t="array" aca="1" ref="X9" ca="1">IF($R9="Y",VLOOKUP($Q9,INDIRECT($Q$3),X$6,0)*INDIRECT($P$2),VLOOKUP($Q9,INDIRECT($Q$3),X$6,0))</f>
        <v>24.657806284374992</v>
      </c>
      <c r="Y9" s="76" cm="1">
        <f t="array" aca="1" ref="Y9" ca="1">IF($R9="Y",VLOOKUP($Q9,INDIRECT($Q$3),Y$6,0)*INDIRECT($P$2),VLOOKUP($Q9,INDIRECT($Q$3),Y$6,0))</f>
        <v>25.869891334374994</v>
      </c>
      <c r="Z9" s="76" cm="1">
        <f t="array" aca="1" ref="Z9" ca="1">IF($R9="Y",VLOOKUP($Q9,INDIRECT($Q$3),Z$6,0)*INDIRECT($P$2),VLOOKUP($Q9,INDIRECT($Q$3),Z$6,0))</f>
        <v>27.143458959374993</v>
      </c>
      <c r="AB9" s="62" t="str">
        <f t="shared" ref="AB9:AB10" si="12">A9</f>
        <v>05355C</v>
      </c>
      <c r="AC9" s="63" t="str">
        <f t="shared" ref="AC9:AC10" si="13">R9</f>
        <v>Y</v>
      </c>
      <c r="AD9" s="67" t="str">
        <f t="shared" ref="AD9:AD10" si="14">B9</f>
        <v xml:space="preserve"> 04</v>
      </c>
      <c r="AE9" s="68">
        <f t="shared" ref="AE9:AF10" ca="1" si="15">ROUND(T9,3)</f>
        <v>20.309999999999999</v>
      </c>
      <c r="AF9" s="68">
        <f t="shared" ca="1" si="15"/>
        <v>21.356000000000002</v>
      </c>
      <c r="AG9" s="68">
        <f t="shared" ca="1" si="2"/>
        <v>22.405000000000001</v>
      </c>
      <c r="AH9" s="68">
        <f t="shared" ca="1" si="2"/>
        <v>23.504000000000001</v>
      </c>
      <c r="AI9" s="68">
        <f t="shared" ca="1" si="2"/>
        <v>24.658000000000001</v>
      </c>
      <c r="AJ9" s="68">
        <f t="shared" ca="1" si="2"/>
        <v>25.87</v>
      </c>
      <c r="AK9" s="68">
        <f t="shared" ca="1" si="2"/>
        <v>27.143000000000001</v>
      </c>
    </row>
    <row r="10" spans="1:37" x14ac:dyDescent="0.3">
      <c r="A10" s="23" t="s">
        <v>21</v>
      </c>
      <c r="B10" s="49" t="s">
        <v>74</v>
      </c>
      <c r="C10" s="23" t="s">
        <v>22</v>
      </c>
      <c r="D10" s="39" t="s">
        <v>17</v>
      </c>
      <c r="E10" s="39">
        <v>168</v>
      </c>
      <c r="F10" s="39">
        <v>3</v>
      </c>
      <c r="G10" s="39" t="s">
        <v>18</v>
      </c>
      <c r="H10" s="54">
        <f t="shared" ca="1" si="3"/>
        <v>20.310109909374994</v>
      </c>
      <c r="I10" s="54">
        <f t="shared" ca="1" si="4"/>
        <v>21.356411587499998</v>
      </c>
      <c r="J10" s="54">
        <f t="shared" ca="1" si="5"/>
        <v>22.404909071874993</v>
      </c>
      <c r="K10" s="54">
        <f t="shared" ca="1" si="6"/>
        <v>23.503910099999995</v>
      </c>
      <c r="L10" s="54">
        <f t="shared" ca="1" si="7"/>
        <v>24.657806284374992</v>
      </c>
      <c r="M10" s="54">
        <f t="shared" ca="1" si="8"/>
        <v>25.869891334374994</v>
      </c>
      <c r="N10" s="54">
        <f t="shared" ca="1" si="9"/>
        <v>27.143458959374993</v>
      </c>
      <c r="Q10" s="69" t="str">
        <f t="shared" si="10"/>
        <v>04185C</v>
      </c>
      <c r="R10" s="71" t="s">
        <v>109</v>
      </c>
      <c r="S10" s="75" t="str">
        <f t="shared" si="11"/>
        <v xml:space="preserve"> 04</v>
      </c>
      <c r="T10" s="76" cm="1">
        <f t="array" aca="1" ref="T10" ca="1">IF($R10="Y",VLOOKUP($Q10,INDIRECT($Q$3),T$6,0)*INDIRECT($P$2),VLOOKUP($Q10,INDIRECT($Q$3),T$6,0))</f>
        <v>20.310109909374994</v>
      </c>
      <c r="U10" s="76" cm="1">
        <f t="array" aca="1" ref="U10" ca="1">IF($R10="Y",VLOOKUP($Q10,INDIRECT($Q$3),U$6,0)*INDIRECT($P$2),VLOOKUP($Q10,INDIRECT($Q$3),U$6,0))</f>
        <v>21.356411587499998</v>
      </c>
      <c r="V10" s="76" cm="1">
        <f t="array" aca="1" ref="V10" ca="1">IF($R10="Y",VLOOKUP($Q10,INDIRECT($Q$3),V$6,0)*INDIRECT($P$2),VLOOKUP($Q10,INDIRECT($Q$3),V$6,0))</f>
        <v>22.404909071874993</v>
      </c>
      <c r="W10" s="76" cm="1">
        <f t="array" aca="1" ref="W10" ca="1">IF($R10="Y",VLOOKUP($Q10,INDIRECT($Q$3),W$6,0)*INDIRECT($P$2),VLOOKUP($Q10,INDIRECT($Q$3),W$6,0))</f>
        <v>23.503910099999995</v>
      </c>
      <c r="X10" s="76" cm="1">
        <f t="array" aca="1" ref="X10" ca="1">IF($R10="Y",VLOOKUP($Q10,INDIRECT($Q$3),X$6,0)*INDIRECT($P$2),VLOOKUP($Q10,INDIRECT($Q$3),X$6,0))</f>
        <v>24.657806284374992</v>
      </c>
      <c r="Y10" s="76" cm="1">
        <f t="array" aca="1" ref="Y10" ca="1">IF($R10="Y",VLOOKUP($Q10,INDIRECT($Q$3),Y$6,0)*INDIRECT($P$2),VLOOKUP($Q10,INDIRECT($Q$3),Y$6,0))</f>
        <v>25.869891334374994</v>
      </c>
      <c r="Z10" s="76" cm="1">
        <f t="array" aca="1" ref="Z10" ca="1">IF($R10="Y",VLOOKUP($Q10,INDIRECT($Q$3),Z$6,0)*INDIRECT($P$2),VLOOKUP($Q10,INDIRECT($Q$3),Z$6,0))</f>
        <v>27.143458959374993</v>
      </c>
      <c r="AB10" s="62" t="str">
        <f t="shared" si="12"/>
        <v>04185C</v>
      </c>
      <c r="AC10" s="63" t="str">
        <f t="shared" si="13"/>
        <v>Y</v>
      </c>
      <c r="AD10" s="67" t="str">
        <f t="shared" si="14"/>
        <v xml:space="preserve"> 04</v>
      </c>
      <c r="AE10" s="68">
        <f t="shared" ca="1" si="15"/>
        <v>20.309999999999999</v>
      </c>
      <c r="AF10" s="68">
        <f t="shared" ca="1" si="15"/>
        <v>21.356000000000002</v>
      </c>
      <c r="AG10" s="68">
        <f t="shared" ca="1" si="2"/>
        <v>22.405000000000001</v>
      </c>
      <c r="AH10" s="68">
        <f t="shared" ca="1" si="2"/>
        <v>23.504000000000001</v>
      </c>
      <c r="AI10" s="68">
        <f t="shared" ca="1" si="2"/>
        <v>24.658000000000001</v>
      </c>
      <c r="AJ10" s="68">
        <f t="shared" ca="1" si="2"/>
        <v>25.87</v>
      </c>
      <c r="AK10" s="68">
        <f t="shared" ca="1" si="2"/>
        <v>27.143000000000001</v>
      </c>
    </row>
    <row r="11" spans="1:37" x14ac:dyDescent="0.3">
      <c r="H11" s="60"/>
      <c r="I11" s="60"/>
      <c r="J11" s="60"/>
      <c r="K11" s="60"/>
      <c r="L11" s="60"/>
      <c r="M11" s="60"/>
      <c r="N11" s="60"/>
    </row>
    <row r="12" spans="1:37" x14ac:dyDescent="0.3">
      <c r="A12" s="20" t="s">
        <v>23</v>
      </c>
      <c r="B12" s="20"/>
      <c r="H12" s="61"/>
      <c r="I12" s="61"/>
      <c r="J12" s="61"/>
      <c r="K12" s="61"/>
      <c r="L12" s="61"/>
      <c r="M12" s="61"/>
      <c r="N12" s="61"/>
    </row>
    <row r="13" spans="1:37" x14ac:dyDescent="0.3">
      <c r="A13" s="31" t="str">
        <f ca="1">"When an employee is assigned as a lead worker, the employee shall receive an additional "&amp;TEXT(T13,"$#,###.000")&amp;" oer hour for all hours worked."</f>
        <v>When an employee is assigned as a lead worker, the employee shall receive an additional $2.424 oer hour for all hours worked.</v>
      </c>
      <c r="B13" s="31"/>
      <c r="C13" s="32"/>
      <c r="D13" s="33"/>
      <c r="E13" s="34"/>
      <c r="F13" s="33"/>
      <c r="G13" s="33"/>
      <c r="H13" s="33"/>
      <c r="I13" s="33"/>
      <c r="J13" s="33"/>
      <c r="K13" s="33"/>
      <c r="Q13" s="69" t="s">
        <v>102</v>
      </c>
      <c r="R13" s="71" t="s">
        <v>109</v>
      </c>
      <c r="T13" s="76" cm="1">
        <f t="array" aca="1" ref="T13" ca="1">IF($R13="Y",VLOOKUP($Q13,INDIRECT($Q$3),T$6,0)*INDIRECT($P$2),VLOOKUP($Q13,INDIRECT($Q$3),T$6,0))</f>
        <v>2.4241700999999996</v>
      </c>
      <c r="AB13" s="62" t="str">
        <f>Q13</f>
        <v>CVTLDS</v>
      </c>
      <c r="AC13" s="63" t="str">
        <f>R13</f>
        <v>Y</v>
      </c>
      <c r="AE13" s="68">
        <f t="shared" ref="AE13" ca="1" si="16">ROUND(T13,3)</f>
        <v>2.4239999999999999</v>
      </c>
    </row>
    <row r="14" spans="1:37" x14ac:dyDescent="0.3">
      <c r="A14" s="31"/>
      <c r="B14" s="3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37" x14ac:dyDescent="0.3">
      <c r="A15" s="21" t="s">
        <v>29</v>
      </c>
      <c r="B15" s="21"/>
      <c r="C15" s="32"/>
      <c r="D15" s="32"/>
      <c r="E15" s="36"/>
      <c r="F15" s="32"/>
      <c r="G15" s="32"/>
      <c r="H15" s="32"/>
      <c r="I15" s="32"/>
      <c r="J15" s="32"/>
      <c r="K15" s="32"/>
      <c r="L15" s="20"/>
    </row>
    <row r="16" spans="1:37" x14ac:dyDescent="0.3">
      <c r="A16" s="31" t="s">
        <v>41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31" x14ac:dyDescent="0.3">
      <c r="A17" s="31" t="s">
        <v>42</v>
      </c>
      <c r="B17" s="31"/>
      <c r="C17" s="33"/>
      <c r="D17" s="33"/>
      <c r="E17" s="34"/>
      <c r="F17" s="33"/>
      <c r="G17" s="33"/>
      <c r="H17" s="33"/>
      <c r="I17" s="33"/>
      <c r="J17" s="33"/>
      <c r="K17" s="33"/>
    </row>
    <row r="18" spans="1:31" x14ac:dyDescent="0.3">
      <c r="A18" s="50">
        <f ca="1">T18</f>
        <v>0.57200752812499989</v>
      </c>
      <c r="B18" s="25" t="s">
        <v>32</v>
      </c>
      <c r="I18" s="59"/>
      <c r="J18" s="38"/>
      <c r="K18" s="33"/>
      <c r="Q18" s="69" t="s">
        <v>110</v>
      </c>
      <c r="R18" s="71" t="s">
        <v>109</v>
      </c>
      <c r="T18" s="76" cm="1">
        <f t="array" aca="1" ref="T18" ca="1">IF($R18="Y",VLOOKUP($Q18,INDIRECT($Q$3),T$6,0)*INDIRECT($P$2),VLOOKUP($Q18,INDIRECT($Q$3),T$6,0))</f>
        <v>0.57200752812499989</v>
      </c>
      <c r="AB18" s="62" t="str">
        <f>Q18</f>
        <v>10th</v>
      </c>
      <c r="AC18" s="63" t="str">
        <f t="shared" ref="AC18:AC21" si="17">R18</f>
        <v>Y</v>
      </c>
      <c r="AE18" s="68">
        <f t="shared" ref="AE18:AE21" ca="1" si="18">ROUND(T18,3)</f>
        <v>0.57199999999999995</v>
      </c>
    </row>
    <row r="19" spans="1:31" x14ac:dyDescent="0.3">
      <c r="A19" s="50">
        <f t="shared" ref="A19:A21" ca="1" si="19">T19</f>
        <v>0.78829444374999968</v>
      </c>
      <c r="B19" s="25" t="s">
        <v>33</v>
      </c>
      <c r="I19" s="59"/>
      <c r="J19" s="38"/>
      <c r="K19" s="33"/>
      <c r="Q19" s="69" t="s">
        <v>111</v>
      </c>
      <c r="R19" s="71" t="s">
        <v>109</v>
      </c>
      <c r="T19" s="76" cm="1">
        <f t="array" aca="1" ref="T19" ca="1">IF($R19="Y",VLOOKUP($Q19,INDIRECT($Q$3),T$6,0)*INDIRECT($P$2),VLOOKUP($Q19,INDIRECT($Q$3),T$6,0))</f>
        <v>0.78829444374999968</v>
      </c>
      <c r="AB19" s="62" t="str">
        <f t="shared" ref="AB19:AB21" si="20">Q19</f>
        <v>15th</v>
      </c>
      <c r="AC19" s="63" t="str">
        <f t="shared" si="17"/>
        <v>Y</v>
      </c>
      <c r="AE19" s="68">
        <f t="shared" ca="1" si="18"/>
        <v>0.78800000000000003</v>
      </c>
    </row>
    <row r="20" spans="1:31" x14ac:dyDescent="0.3">
      <c r="A20" s="50">
        <f t="shared" ca="1" si="19"/>
        <v>0.87502879062499983</v>
      </c>
      <c r="B20" s="25" t="s">
        <v>34</v>
      </c>
      <c r="I20" s="59"/>
      <c r="J20" s="38"/>
      <c r="K20" s="33"/>
      <c r="Q20" s="69" t="s">
        <v>112</v>
      </c>
      <c r="R20" s="71" t="s">
        <v>109</v>
      </c>
      <c r="T20" s="76" cm="1">
        <f t="array" aca="1" ref="T20" ca="1">IF($R20="Y",VLOOKUP($Q20,INDIRECT($Q$3),T$6,0)*INDIRECT($P$2),VLOOKUP($Q20,INDIRECT($Q$3),T$6,0))</f>
        <v>0.87502879062499983</v>
      </c>
      <c r="AB20" s="62" t="str">
        <f t="shared" si="20"/>
        <v>20th</v>
      </c>
      <c r="AC20" s="63" t="str">
        <f t="shared" si="17"/>
        <v>Y</v>
      </c>
      <c r="AE20" s="68">
        <f t="shared" ca="1" si="18"/>
        <v>0.875</v>
      </c>
    </row>
    <row r="21" spans="1:31" x14ac:dyDescent="0.3">
      <c r="A21" s="50">
        <f t="shared" ca="1" si="19"/>
        <v>1.0408121624999997</v>
      </c>
      <c r="B21" s="25" t="s">
        <v>35</v>
      </c>
      <c r="I21" s="59"/>
      <c r="J21" s="38"/>
      <c r="K21" s="33"/>
      <c r="Q21" s="69" t="s">
        <v>113</v>
      </c>
      <c r="R21" s="71" t="s">
        <v>109</v>
      </c>
      <c r="T21" s="76" cm="1">
        <f t="array" aca="1" ref="T21" ca="1">IF($R21="Y",VLOOKUP($Q21,INDIRECT($Q$3),T$6,0)*INDIRECT($P$2),VLOOKUP($Q21,INDIRECT($Q$3),T$6,0))</f>
        <v>1.0408121624999997</v>
      </c>
      <c r="AB21" s="62" t="str">
        <f t="shared" si="20"/>
        <v>25th</v>
      </c>
      <c r="AC21" s="63" t="str">
        <f t="shared" si="17"/>
        <v>Y</v>
      </c>
      <c r="AE21" s="68">
        <f t="shared" ca="1" si="18"/>
        <v>1.0409999999999999</v>
      </c>
    </row>
    <row r="22" spans="1:31" x14ac:dyDescent="0.3">
      <c r="A22" s="37"/>
      <c r="B22" s="37"/>
      <c r="C22" s="25"/>
      <c r="J22" s="38"/>
      <c r="K22" s="33"/>
    </row>
    <row r="23" spans="1:31" x14ac:dyDescent="0.3">
      <c r="A23" s="20" t="s">
        <v>39</v>
      </c>
      <c r="B23" s="20"/>
    </row>
    <row r="24" spans="1:31" x14ac:dyDescent="0.3">
      <c r="A24" s="31" t="s">
        <v>38</v>
      </c>
      <c r="B24" s="31"/>
    </row>
    <row r="25" spans="1:31" x14ac:dyDescent="0.3">
      <c r="A25" s="31" t="str">
        <f ca="1">"and 2:00 a.m. shall be paid an additional "&amp;TEXT(T25,"$#.000")&amp;" per hour for all hours worked on such shift."</f>
        <v>and 2:00 a.m. shall be paid an additional $1.493 per hour for all hours worked on such shift.</v>
      </c>
      <c r="B25" s="31"/>
      <c r="Q25" s="77" t="s">
        <v>100</v>
      </c>
      <c r="R25" s="71" t="s">
        <v>109</v>
      </c>
      <c r="T25" s="76" cm="1">
        <f t="array" aca="1" ref="T25" ca="1">IF($R25="Y",VLOOKUP($Q25,INDIRECT($Q$3),T$6,0)*INDIRECT($P$2),VLOOKUP($Q25,INDIRECT($Q$3),T$6,0))</f>
        <v>1.4931482499999995</v>
      </c>
      <c r="AB25" s="62" t="str">
        <f t="shared" ref="AB25:AC26" si="21">Q25</f>
        <v>CVTAM1</v>
      </c>
      <c r="AC25" s="63" t="str">
        <f t="shared" si="21"/>
        <v>Y</v>
      </c>
      <c r="AE25" s="68">
        <f t="shared" ref="AE25:AE26" ca="1" si="22">ROUND(T25,3)</f>
        <v>1.4930000000000001</v>
      </c>
    </row>
    <row r="26" spans="1:31" x14ac:dyDescent="0.3">
      <c r="Q26" s="77" t="s">
        <v>98</v>
      </c>
      <c r="R26" s="71" t="s">
        <v>109</v>
      </c>
      <c r="T26" s="76" cm="1">
        <f t="array" aca="1" ref="T26" ca="1">IF($R26="Y",VLOOKUP($Q26,INDIRECT($Q$3),T$6,0)*INDIRECT($P$2),VLOOKUP($Q26,INDIRECT($Q$3),T$6,0))</f>
        <v>1.4931482499999995</v>
      </c>
      <c r="AB26" s="62" t="str">
        <f t="shared" si="21"/>
        <v>CVTEVE</v>
      </c>
      <c r="AC26" s="63" t="str">
        <f t="shared" si="21"/>
        <v>Y</v>
      </c>
      <c r="AE26" s="68">
        <f t="shared" ca="1" si="22"/>
        <v>1.4930000000000001</v>
      </c>
    </row>
  </sheetData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4606-1448-4C06-91CB-E6FDEAC01F6B}">
  <sheetPr>
    <tabColor theme="4"/>
    <pageSetUpPr fitToPage="1"/>
  </sheetPr>
  <dimension ref="A1:AK26"/>
  <sheetViews>
    <sheetView showGridLines="0" workbookViewId="0"/>
  </sheetViews>
  <sheetFormatPr defaultColWidth="9.109375" defaultRowHeight="14.4" x14ac:dyDescent="0.3"/>
  <cols>
    <col min="1" max="2" width="7" style="23" customWidth="1"/>
    <col min="3" max="3" width="32.88671875" style="23" customWidth="1"/>
    <col min="4" max="4" width="5.88671875" style="23" bestFit="1" customWidth="1"/>
    <col min="5" max="5" width="4.109375" style="23" bestFit="1" customWidth="1"/>
    <col min="6" max="6" width="6.44140625" style="23" bestFit="1" customWidth="1"/>
    <col min="7" max="7" width="8.44140625" style="23" bestFit="1" customWidth="1"/>
    <col min="8" max="8" width="9" style="23" customWidth="1"/>
    <col min="9" max="9" width="8.6640625" style="23" bestFit="1" customWidth="1"/>
    <col min="10" max="14" width="8.5546875" style="23" bestFit="1" customWidth="1"/>
    <col min="15" max="15" width="1.5546875" style="23" bestFit="1" customWidth="1"/>
    <col min="16" max="16" width="14" style="69" hidden="1" customWidth="1"/>
    <col min="17" max="17" width="9" style="69" hidden="1" customWidth="1"/>
    <col min="18" max="18" width="7.5546875" style="71" hidden="1" customWidth="1"/>
    <col min="19" max="19" width="9.44140625" style="71" hidden="1" customWidth="1"/>
    <col min="20" max="20" width="8.5546875" style="71" hidden="1" customWidth="1"/>
    <col min="21" max="26" width="6.5546875" style="71" hidden="1" customWidth="1"/>
    <col min="27" max="27" width="9.109375" style="23" hidden="1" customWidth="1"/>
    <col min="28" max="28" width="13.5546875" style="62" hidden="1" customWidth="1"/>
    <col min="29" max="29" width="7.5546875" style="63" hidden="1" customWidth="1"/>
    <col min="30" max="30" width="9.44140625" style="63" hidden="1" customWidth="1"/>
    <col min="31" max="31" width="8.5546875" style="62" hidden="1" customWidth="1"/>
    <col min="32" max="37" width="7.5546875" style="62" hidden="1" customWidth="1"/>
    <col min="38" max="16384" width="9.109375" style="23"/>
  </cols>
  <sheetData>
    <row r="1" spans="1:37" s="79" customFormat="1" ht="15.6" x14ac:dyDescent="0.3">
      <c r="A1" s="79" t="s">
        <v>127</v>
      </c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B1" s="82"/>
      <c r="AC1" s="83"/>
      <c r="AD1" s="83"/>
      <c r="AE1" s="82"/>
      <c r="AF1" s="82"/>
      <c r="AG1" s="82"/>
      <c r="AH1" s="82"/>
      <c r="AI1" s="82"/>
      <c r="AJ1" s="82"/>
      <c r="AK1" s="82"/>
    </row>
    <row r="2" spans="1:37" x14ac:dyDescent="0.3">
      <c r="A2" s="22" t="s">
        <v>75</v>
      </c>
      <c r="B2" s="22"/>
      <c r="P2" s="69" t="s">
        <v>129</v>
      </c>
      <c r="Q2" s="70">
        <f>110%*104%</f>
        <v>1.1440000000000001</v>
      </c>
    </row>
    <row r="3" spans="1:37" x14ac:dyDescent="0.3">
      <c r="A3" s="22" t="s">
        <v>130</v>
      </c>
      <c r="B3" s="22"/>
      <c r="L3" s="24"/>
      <c r="M3" s="24"/>
      <c r="P3" s="69" t="s">
        <v>115</v>
      </c>
      <c r="Q3" s="69" t="s">
        <v>128</v>
      </c>
    </row>
    <row r="4" spans="1:37" x14ac:dyDescent="0.3">
      <c r="A4" s="25" t="s">
        <v>2</v>
      </c>
      <c r="B4" s="25"/>
    </row>
    <row r="5" spans="1:37" x14ac:dyDescent="0.3">
      <c r="A5" s="25" t="s">
        <v>119</v>
      </c>
      <c r="B5" s="25"/>
      <c r="P5" s="78" t="s">
        <v>126</v>
      </c>
      <c r="AB5" s="62" t="s">
        <v>125</v>
      </c>
    </row>
    <row r="6" spans="1:37" x14ac:dyDescent="0.3">
      <c r="O6" s="23" t="s">
        <v>76</v>
      </c>
      <c r="T6" s="71">
        <v>4</v>
      </c>
      <c r="U6" s="71">
        <f>T6+1</f>
        <v>5</v>
      </c>
      <c r="V6" s="71">
        <f t="shared" ref="V6:Z6" si="0">U6+1</f>
        <v>6</v>
      </c>
      <c r="W6" s="71">
        <f t="shared" si="0"/>
        <v>7</v>
      </c>
      <c r="X6" s="71">
        <f t="shared" si="0"/>
        <v>8</v>
      </c>
      <c r="Y6" s="71">
        <f t="shared" si="0"/>
        <v>9</v>
      </c>
      <c r="Z6" s="71">
        <f t="shared" si="0"/>
        <v>10</v>
      </c>
    </row>
    <row r="7" spans="1:37" ht="29.4" thickBot="1" x14ac:dyDescent="0.35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73" t="s">
        <v>10</v>
      </c>
      <c r="V7" s="73" t="s">
        <v>11</v>
      </c>
      <c r="W7" s="73" t="s">
        <v>12</v>
      </c>
      <c r="X7" s="73" t="s">
        <v>13</v>
      </c>
      <c r="Y7" s="73" t="s">
        <v>14</v>
      </c>
      <c r="Z7" s="73" t="s">
        <v>15</v>
      </c>
      <c r="AB7" s="64" t="s">
        <v>3</v>
      </c>
      <c r="AC7" s="65" t="s">
        <v>108</v>
      </c>
      <c r="AD7" s="65" t="s">
        <v>66</v>
      </c>
      <c r="AE7" s="66" t="s">
        <v>9</v>
      </c>
      <c r="AF7" s="65" t="s">
        <v>10</v>
      </c>
      <c r="AG7" s="65" t="s">
        <v>11</v>
      </c>
      <c r="AH7" s="65" t="s">
        <v>12</v>
      </c>
      <c r="AI7" s="65" t="s">
        <v>13</v>
      </c>
      <c r="AJ7" s="65" t="s">
        <v>14</v>
      </c>
      <c r="AK7" s="65" t="s">
        <v>15</v>
      </c>
    </row>
    <row r="8" spans="1:37" x14ac:dyDescent="0.3">
      <c r="A8" s="23" t="s">
        <v>16</v>
      </c>
      <c r="B8" s="49" t="s">
        <v>73</v>
      </c>
      <c r="C8" s="23" t="s">
        <v>45</v>
      </c>
      <c r="D8" s="39" t="s">
        <v>17</v>
      </c>
      <c r="E8" s="39">
        <v>153</v>
      </c>
      <c r="F8" s="39">
        <v>3</v>
      </c>
      <c r="G8" s="39" t="s">
        <v>18</v>
      </c>
      <c r="H8" s="61">
        <f ca="1">T8</f>
        <v>22.75999729217499</v>
      </c>
      <c r="I8" s="61">
        <f t="shared" ref="I8:N10" ca="1" si="1">U8</f>
        <v>23.955710410775001</v>
      </c>
      <c r="J8" s="61">
        <f t="shared" ca="1" si="1"/>
        <v>25.153935531724994</v>
      </c>
      <c r="K8" s="61">
        <f t="shared" ca="1" si="1"/>
        <v>26.412448709074994</v>
      </c>
      <c r="L8" s="61">
        <f t="shared" ca="1" si="1"/>
        <v>27.732505944</v>
      </c>
      <c r="M8" s="61">
        <f t="shared" ca="1" si="1"/>
        <v>29.119131241200002</v>
      </c>
      <c r="N8" s="61">
        <f t="shared" ca="1" si="1"/>
        <v>30.576092604199999</v>
      </c>
      <c r="Q8" s="69" t="str">
        <f>A8</f>
        <v>02630C</v>
      </c>
      <c r="R8" s="71" t="s">
        <v>109</v>
      </c>
      <c r="S8" s="75" t="str">
        <f>B8</f>
        <v xml:space="preserve"> 02</v>
      </c>
      <c r="T8" s="84" cm="1">
        <f t="array" aca="1" ref="T8" ca="1">IF($R8="Y",VLOOKUP($Q8,INDIRECT($Q$3),T$6,0)*INDIRECT($P$2),VLOOKUP($Q8,INDIRECT($Q$3),T$6,0))</f>
        <v>22.75999729217499</v>
      </c>
      <c r="U8" s="84" cm="1">
        <f t="array" aca="1" ref="U8" ca="1">IF($R8="Y",VLOOKUP($Q8,INDIRECT($Q$3),U$6,0)*INDIRECT($P$2),VLOOKUP($Q8,INDIRECT($Q$3),U$6,0))</f>
        <v>23.955710410775001</v>
      </c>
      <c r="V8" s="84" cm="1">
        <f t="array" aca="1" ref="V8" ca="1">IF($R8="Y",VLOOKUP($Q8,INDIRECT($Q$3),V$6,0)*INDIRECT($P$2),VLOOKUP($Q8,INDIRECT($Q$3),V$6,0))</f>
        <v>25.153935531724994</v>
      </c>
      <c r="W8" s="84" cm="1">
        <f t="array" aca="1" ref="W8" ca="1">IF($R8="Y",VLOOKUP($Q8,INDIRECT($Q$3),W$6,0)*INDIRECT($P$2),VLOOKUP($Q8,INDIRECT($Q$3),W$6,0))</f>
        <v>26.412448709074994</v>
      </c>
      <c r="X8" s="84" cm="1">
        <f t="array" aca="1" ref="X8" ca="1">IF($R8="Y",VLOOKUP($Q8,INDIRECT($Q$3),X$6,0)*INDIRECT($P$2),VLOOKUP($Q8,INDIRECT($Q$3),X$6,0))</f>
        <v>27.732505944</v>
      </c>
      <c r="Y8" s="84" cm="1">
        <f t="array" aca="1" ref="Y8" ca="1">IF($R8="Y",VLOOKUP($Q8,INDIRECT($Q$3),Y$6,0)*INDIRECT($P$2),VLOOKUP($Q8,INDIRECT($Q$3),Y$6,0))</f>
        <v>29.119131241200002</v>
      </c>
      <c r="Z8" s="84" cm="1">
        <f t="array" aca="1" ref="Z8" ca="1">IF($R8="Y",VLOOKUP($Q8,INDIRECT($Q$3),Z$6,0)*INDIRECT($P$2),VLOOKUP($Q8,INDIRECT($Q$3),Z$6,0))</f>
        <v>30.576092604199999</v>
      </c>
      <c r="AB8" s="62" t="str">
        <f>A8</f>
        <v>02630C</v>
      </c>
      <c r="AC8" s="63" t="str">
        <f>R8</f>
        <v>Y</v>
      </c>
      <c r="AD8" s="67" t="str">
        <f>B8</f>
        <v xml:space="preserve"> 02</v>
      </c>
      <c r="AE8" s="85">
        <f ca="1">ROUND(T8,2)</f>
        <v>22.76</v>
      </c>
      <c r="AF8" s="85">
        <f t="shared" ref="AF8:AK8" ca="1" si="2">ROUND(U8,2)</f>
        <v>23.96</v>
      </c>
      <c r="AG8" s="85">
        <f t="shared" ca="1" si="2"/>
        <v>25.15</v>
      </c>
      <c r="AH8" s="85">
        <f t="shared" ca="1" si="2"/>
        <v>26.41</v>
      </c>
      <c r="AI8" s="85">
        <f t="shared" ca="1" si="2"/>
        <v>27.73</v>
      </c>
      <c r="AJ8" s="85">
        <f t="shared" ca="1" si="2"/>
        <v>29.12</v>
      </c>
      <c r="AK8" s="85">
        <f t="shared" ca="1" si="2"/>
        <v>30.58</v>
      </c>
    </row>
    <row r="9" spans="1:37" x14ac:dyDescent="0.3">
      <c r="A9" s="23" t="s">
        <v>19</v>
      </c>
      <c r="B9" s="49" t="s">
        <v>74</v>
      </c>
      <c r="C9" s="23" t="s">
        <v>20</v>
      </c>
      <c r="D9" s="39" t="s">
        <v>17</v>
      </c>
      <c r="E9" s="39">
        <v>168</v>
      </c>
      <c r="F9" s="39">
        <v>3</v>
      </c>
      <c r="G9" s="39" t="s">
        <v>18</v>
      </c>
      <c r="H9" s="61">
        <f t="shared" ref="H9:H10" ca="1" si="3">T9</f>
        <v>23.234765736324995</v>
      </c>
      <c r="I9" s="61">
        <f t="shared" ca="1" si="1"/>
        <v>24.4317348561</v>
      </c>
      <c r="J9" s="61">
        <f t="shared" ca="1" si="1"/>
        <v>25.631215978224994</v>
      </c>
      <c r="K9" s="61">
        <f t="shared" ca="1" si="1"/>
        <v>26.888473154399996</v>
      </c>
      <c r="L9" s="61">
        <f t="shared" ca="1" si="1"/>
        <v>28.208530389324995</v>
      </c>
      <c r="M9" s="61">
        <f t="shared" ca="1" si="1"/>
        <v>29.595155686524997</v>
      </c>
      <c r="N9" s="61">
        <f t="shared" ca="1" si="1"/>
        <v>31.052117049524995</v>
      </c>
      <c r="Q9" s="69" t="str">
        <f t="shared" ref="Q9:Q10" si="4">A9</f>
        <v>05355C</v>
      </c>
      <c r="R9" s="71" t="s">
        <v>109</v>
      </c>
      <c r="S9" s="75" t="str">
        <f t="shared" ref="S9:S10" si="5">B9</f>
        <v xml:space="preserve"> 04</v>
      </c>
      <c r="T9" s="84" cm="1">
        <f t="array" aca="1" ref="T9" ca="1">IF($R9="Y",VLOOKUP($Q9,INDIRECT($Q$3),T$6,0)*INDIRECT($P$2),VLOOKUP($Q9,INDIRECT($Q$3),T$6,0))</f>
        <v>23.234765736324995</v>
      </c>
      <c r="U9" s="84" cm="1">
        <f t="array" aca="1" ref="U9" ca="1">IF($R9="Y",VLOOKUP($Q9,INDIRECT($Q$3),U$6,0)*INDIRECT($P$2),VLOOKUP($Q9,INDIRECT($Q$3),U$6,0))</f>
        <v>24.4317348561</v>
      </c>
      <c r="V9" s="84" cm="1">
        <f t="array" aca="1" ref="V9" ca="1">IF($R9="Y",VLOOKUP($Q9,INDIRECT($Q$3),V$6,0)*INDIRECT($P$2),VLOOKUP($Q9,INDIRECT($Q$3),V$6,0))</f>
        <v>25.631215978224994</v>
      </c>
      <c r="W9" s="84" cm="1">
        <f t="array" aca="1" ref="W9" ca="1">IF($R9="Y",VLOOKUP($Q9,INDIRECT($Q$3),W$6,0)*INDIRECT($P$2),VLOOKUP($Q9,INDIRECT($Q$3),W$6,0))</f>
        <v>26.888473154399996</v>
      </c>
      <c r="X9" s="84" cm="1">
        <f t="array" aca="1" ref="X9" ca="1">IF($R9="Y",VLOOKUP($Q9,INDIRECT($Q$3),X$6,0)*INDIRECT($P$2),VLOOKUP($Q9,INDIRECT($Q$3),X$6,0))</f>
        <v>28.208530389324995</v>
      </c>
      <c r="Y9" s="84" cm="1">
        <f t="array" aca="1" ref="Y9" ca="1">IF($R9="Y",VLOOKUP($Q9,INDIRECT($Q$3),Y$6,0)*INDIRECT($P$2),VLOOKUP($Q9,INDIRECT($Q$3),Y$6,0))</f>
        <v>29.595155686524997</v>
      </c>
      <c r="Z9" s="84" cm="1">
        <f t="array" aca="1" ref="Z9" ca="1">IF($R9="Y",VLOOKUP($Q9,INDIRECT($Q$3),Z$6,0)*INDIRECT($P$2),VLOOKUP($Q9,INDIRECT($Q$3),Z$6,0))</f>
        <v>31.052117049524995</v>
      </c>
      <c r="AB9" s="62" t="str">
        <f t="shared" ref="AB9:AB10" si="6">A9</f>
        <v>05355C</v>
      </c>
      <c r="AC9" s="63" t="str">
        <f t="shared" ref="AC9:AC10" si="7">R9</f>
        <v>Y</v>
      </c>
      <c r="AD9" s="67" t="str">
        <f t="shared" ref="AD9:AD10" si="8">B9</f>
        <v xml:space="preserve"> 04</v>
      </c>
      <c r="AE9" s="85">
        <f t="shared" ref="AE9:AE10" ca="1" si="9">ROUND(T9,2)</f>
        <v>23.23</v>
      </c>
      <c r="AF9" s="85">
        <f t="shared" ref="AF9:AF10" ca="1" si="10">ROUND(U9,2)</f>
        <v>24.43</v>
      </c>
      <c r="AG9" s="85">
        <f t="shared" ref="AG9:AG10" ca="1" si="11">ROUND(V9,2)</f>
        <v>25.63</v>
      </c>
      <c r="AH9" s="85">
        <f t="shared" ref="AH9:AH10" ca="1" si="12">ROUND(W9,2)</f>
        <v>26.89</v>
      </c>
      <c r="AI9" s="85">
        <f t="shared" ref="AI9:AI10" ca="1" si="13">ROUND(X9,2)</f>
        <v>28.21</v>
      </c>
      <c r="AJ9" s="85">
        <f t="shared" ref="AJ9:AJ10" ca="1" si="14">ROUND(Y9,2)</f>
        <v>29.6</v>
      </c>
      <c r="AK9" s="85">
        <f t="shared" ref="AK9:AK10" ca="1" si="15">ROUND(Z9,2)</f>
        <v>31.05</v>
      </c>
    </row>
    <row r="10" spans="1:37" x14ac:dyDescent="0.3">
      <c r="A10" s="23" t="s">
        <v>21</v>
      </c>
      <c r="B10" s="49" t="s">
        <v>74</v>
      </c>
      <c r="C10" s="23" t="s">
        <v>22</v>
      </c>
      <c r="D10" s="39" t="s">
        <v>17</v>
      </c>
      <c r="E10" s="39">
        <v>168</v>
      </c>
      <c r="F10" s="39">
        <v>3</v>
      </c>
      <c r="G10" s="39" t="s">
        <v>18</v>
      </c>
      <c r="H10" s="61">
        <f t="shared" ca="1" si="3"/>
        <v>23.234765736324995</v>
      </c>
      <c r="I10" s="61">
        <f t="shared" ca="1" si="1"/>
        <v>24.4317348561</v>
      </c>
      <c r="J10" s="61">
        <f t="shared" ca="1" si="1"/>
        <v>25.631215978224994</v>
      </c>
      <c r="K10" s="61">
        <f t="shared" ca="1" si="1"/>
        <v>26.888473154399996</v>
      </c>
      <c r="L10" s="61">
        <f t="shared" ca="1" si="1"/>
        <v>28.208530389324995</v>
      </c>
      <c r="M10" s="61">
        <f t="shared" ca="1" si="1"/>
        <v>29.595155686524997</v>
      </c>
      <c r="N10" s="61">
        <f t="shared" ca="1" si="1"/>
        <v>31.052117049524995</v>
      </c>
      <c r="Q10" s="69" t="str">
        <f t="shared" si="4"/>
        <v>04185C</v>
      </c>
      <c r="R10" s="71" t="s">
        <v>109</v>
      </c>
      <c r="S10" s="75" t="str">
        <f t="shared" si="5"/>
        <v xml:space="preserve"> 04</v>
      </c>
      <c r="T10" s="84" cm="1">
        <f t="array" aca="1" ref="T10" ca="1">IF($R10="Y",VLOOKUP($Q10,INDIRECT($Q$3),T$6,0)*INDIRECT($P$2),VLOOKUP($Q10,INDIRECT($Q$3),T$6,0))</f>
        <v>23.234765736324995</v>
      </c>
      <c r="U10" s="84" cm="1">
        <f t="array" aca="1" ref="U10" ca="1">IF($R10="Y",VLOOKUP($Q10,INDIRECT($Q$3),U$6,0)*INDIRECT($P$2),VLOOKUP($Q10,INDIRECT($Q$3),U$6,0))</f>
        <v>24.4317348561</v>
      </c>
      <c r="V10" s="84" cm="1">
        <f t="array" aca="1" ref="V10" ca="1">IF($R10="Y",VLOOKUP($Q10,INDIRECT($Q$3),V$6,0)*INDIRECT($P$2),VLOOKUP($Q10,INDIRECT($Q$3),V$6,0))</f>
        <v>25.631215978224994</v>
      </c>
      <c r="W10" s="84" cm="1">
        <f t="array" aca="1" ref="W10" ca="1">IF($R10="Y",VLOOKUP($Q10,INDIRECT($Q$3),W$6,0)*INDIRECT($P$2),VLOOKUP($Q10,INDIRECT($Q$3),W$6,0))</f>
        <v>26.888473154399996</v>
      </c>
      <c r="X10" s="84" cm="1">
        <f t="array" aca="1" ref="X10" ca="1">IF($R10="Y",VLOOKUP($Q10,INDIRECT($Q$3),X$6,0)*INDIRECT($P$2),VLOOKUP($Q10,INDIRECT($Q$3),X$6,0))</f>
        <v>28.208530389324995</v>
      </c>
      <c r="Y10" s="84" cm="1">
        <f t="array" aca="1" ref="Y10" ca="1">IF($R10="Y",VLOOKUP($Q10,INDIRECT($Q$3),Y$6,0)*INDIRECT($P$2),VLOOKUP($Q10,INDIRECT($Q$3),Y$6,0))</f>
        <v>29.595155686524997</v>
      </c>
      <c r="Z10" s="84" cm="1">
        <f t="array" aca="1" ref="Z10" ca="1">IF($R10="Y",VLOOKUP($Q10,INDIRECT($Q$3),Z$6,0)*INDIRECT($P$2),VLOOKUP($Q10,INDIRECT($Q$3),Z$6,0))</f>
        <v>31.052117049524995</v>
      </c>
      <c r="AB10" s="62" t="str">
        <f t="shared" si="6"/>
        <v>04185C</v>
      </c>
      <c r="AC10" s="63" t="str">
        <f t="shared" si="7"/>
        <v>Y</v>
      </c>
      <c r="AD10" s="67" t="str">
        <f t="shared" si="8"/>
        <v xml:space="preserve"> 04</v>
      </c>
      <c r="AE10" s="85">
        <f t="shared" ca="1" si="9"/>
        <v>23.23</v>
      </c>
      <c r="AF10" s="85">
        <f t="shared" ca="1" si="10"/>
        <v>24.43</v>
      </c>
      <c r="AG10" s="85">
        <f t="shared" ca="1" si="11"/>
        <v>25.63</v>
      </c>
      <c r="AH10" s="85">
        <f t="shared" ca="1" si="12"/>
        <v>26.89</v>
      </c>
      <c r="AI10" s="85">
        <f t="shared" ca="1" si="13"/>
        <v>28.21</v>
      </c>
      <c r="AJ10" s="85">
        <f t="shared" ca="1" si="14"/>
        <v>29.6</v>
      </c>
      <c r="AK10" s="85">
        <f t="shared" ca="1" si="15"/>
        <v>31.05</v>
      </c>
    </row>
    <row r="11" spans="1:37" x14ac:dyDescent="0.3">
      <c r="H11" s="60"/>
      <c r="I11" s="60"/>
      <c r="J11" s="60"/>
      <c r="K11" s="60"/>
      <c r="L11" s="60"/>
      <c r="M11" s="60"/>
      <c r="N11" s="60"/>
      <c r="U11" s="84"/>
    </row>
    <row r="12" spans="1:37" x14ac:dyDescent="0.3">
      <c r="A12" s="20" t="s">
        <v>23</v>
      </c>
      <c r="B12" s="20"/>
      <c r="H12" s="61"/>
      <c r="I12" s="61"/>
      <c r="J12" s="61"/>
      <c r="K12" s="61"/>
      <c r="L12" s="61"/>
      <c r="M12" s="61"/>
      <c r="N12" s="61"/>
    </row>
    <row r="13" spans="1:37" x14ac:dyDescent="0.3">
      <c r="A13" s="31" t="str">
        <f ca="1">"When an employee is assigned as a lead worker, the employee shall receive an additional "&amp;TEXT(T13,"$#,###.00")&amp;" oer hour for all hours worked."</f>
        <v>When an employee is assigned as a lead worker, the employee shall receive an additional $2.77 oer hour for all hours worked.</v>
      </c>
      <c r="B13" s="31"/>
      <c r="C13" s="32"/>
      <c r="D13" s="33"/>
      <c r="E13" s="34"/>
      <c r="F13" s="33"/>
      <c r="G13" s="33"/>
      <c r="H13" s="33"/>
      <c r="I13" s="33"/>
      <c r="J13" s="33"/>
      <c r="K13" s="33"/>
      <c r="Q13" s="69" t="s">
        <v>102</v>
      </c>
      <c r="R13" s="71" t="s">
        <v>109</v>
      </c>
      <c r="T13" s="84" cm="1">
        <f t="array" aca="1" ref="T13" ca="1">IF($R13="Y",VLOOKUP($Q13,INDIRECT($Q$3),T$6,0)*INDIRECT($P$2),VLOOKUP($Q13,INDIRECT($Q$3),T$6,0))</f>
        <v>2.7732505943999999</v>
      </c>
      <c r="AB13" s="62" t="str">
        <f>Q13</f>
        <v>CVTLDS</v>
      </c>
      <c r="AC13" s="63" t="str">
        <f>R13</f>
        <v>Y</v>
      </c>
      <c r="AE13" s="85">
        <f ca="1">ROUND(T13,2)</f>
        <v>2.77</v>
      </c>
    </row>
    <row r="14" spans="1:37" x14ac:dyDescent="0.3">
      <c r="A14" s="31"/>
      <c r="B14" s="31"/>
      <c r="C14" s="32"/>
      <c r="D14" s="32"/>
      <c r="E14" s="36"/>
      <c r="F14" s="32"/>
      <c r="G14" s="32"/>
      <c r="H14" s="32"/>
      <c r="I14" s="32"/>
      <c r="J14" s="32"/>
      <c r="K14" s="32"/>
      <c r="L14" s="20"/>
      <c r="T14" s="84"/>
    </row>
    <row r="15" spans="1:37" x14ac:dyDescent="0.3">
      <c r="A15" s="21" t="s">
        <v>29</v>
      </c>
      <c r="B15" s="21"/>
      <c r="C15" s="32"/>
      <c r="D15" s="32"/>
      <c r="E15" s="36"/>
      <c r="F15" s="32"/>
      <c r="G15" s="32"/>
      <c r="H15" s="32"/>
      <c r="I15" s="32"/>
      <c r="J15" s="32"/>
      <c r="K15" s="32"/>
      <c r="L15" s="20"/>
      <c r="T15" s="84"/>
    </row>
    <row r="16" spans="1:37" x14ac:dyDescent="0.3">
      <c r="A16" s="31" t="s">
        <v>41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  <c r="T16" s="84"/>
    </row>
    <row r="17" spans="1:31" x14ac:dyDescent="0.3">
      <c r="A17" s="31" t="s">
        <v>42</v>
      </c>
      <c r="B17" s="31"/>
      <c r="C17" s="33"/>
      <c r="D17" s="33"/>
      <c r="E17" s="34"/>
      <c r="F17" s="33"/>
      <c r="G17" s="33"/>
      <c r="H17" s="33"/>
      <c r="I17" s="33"/>
      <c r="J17" s="33"/>
      <c r="K17" s="33"/>
      <c r="T17" s="84"/>
    </row>
    <row r="18" spans="1:31" x14ac:dyDescent="0.3">
      <c r="A18" s="86">
        <f ca="1">T18</f>
        <v>0.65437661217499998</v>
      </c>
      <c r="B18" s="25" t="s">
        <v>32</v>
      </c>
      <c r="I18" s="59"/>
      <c r="J18" s="38"/>
      <c r="K18" s="33"/>
      <c r="Q18" s="69" t="s">
        <v>110</v>
      </c>
      <c r="R18" s="71" t="s">
        <v>109</v>
      </c>
      <c r="T18" s="84" cm="1">
        <f t="array" aca="1" ref="T18" ca="1">IF($R18="Y",VLOOKUP($Q18,INDIRECT($Q$3),T$6,0)*INDIRECT($P$2),VLOOKUP($Q18,INDIRECT($Q$3),T$6,0))</f>
        <v>0.65437661217499998</v>
      </c>
      <c r="AB18" s="62" t="str">
        <f>Q18</f>
        <v>10th</v>
      </c>
      <c r="AC18" s="63" t="str">
        <f t="shared" ref="AC18:AC21" si="16">R18</f>
        <v>Y</v>
      </c>
      <c r="AE18" s="85">
        <f t="shared" ref="AE18:AE21" ca="1" si="17">ROUND(T18,2)</f>
        <v>0.65</v>
      </c>
    </row>
    <row r="19" spans="1:31" x14ac:dyDescent="0.3">
      <c r="A19" s="86">
        <f t="shared" ref="A19:A21" ca="1" si="18">T19</f>
        <v>0.90180884364999969</v>
      </c>
      <c r="B19" s="25" t="s">
        <v>33</v>
      </c>
      <c r="I19" s="59"/>
      <c r="J19" s="38"/>
      <c r="K19" s="33"/>
      <c r="Q19" s="69" t="s">
        <v>111</v>
      </c>
      <c r="R19" s="71" t="s">
        <v>109</v>
      </c>
      <c r="T19" s="84" cm="1">
        <f t="array" aca="1" ref="T19" ca="1">IF($R19="Y",VLOOKUP($Q19,INDIRECT($Q$3),T$6,0)*INDIRECT($P$2),VLOOKUP($Q19,INDIRECT($Q$3),T$6,0))</f>
        <v>0.90180884364999969</v>
      </c>
      <c r="AB19" s="62" t="str">
        <f t="shared" ref="AB19:AB21" si="19">Q19</f>
        <v>15th</v>
      </c>
      <c r="AC19" s="63" t="str">
        <f t="shared" si="16"/>
        <v>Y</v>
      </c>
      <c r="AE19" s="85">
        <f t="shared" ca="1" si="17"/>
        <v>0.9</v>
      </c>
    </row>
    <row r="20" spans="1:31" x14ac:dyDescent="0.3">
      <c r="A20" s="86">
        <f t="shared" ca="1" si="18"/>
        <v>1.0010329364749999</v>
      </c>
      <c r="B20" s="25" t="s">
        <v>34</v>
      </c>
      <c r="I20" s="59"/>
      <c r="J20" s="38"/>
      <c r="K20" s="33"/>
      <c r="Q20" s="69" t="s">
        <v>112</v>
      </c>
      <c r="R20" s="71" t="s">
        <v>109</v>
      </c>
      <c r="T20" s="84" cm="1">
        <f t="array" aca="1" ref="T20" ca="1">IF($R20="Y",VLOOKUP($Q20,INDIRECT($Q$3),T$6,0)*INDIRECT($P$2),VLOOKUP($Q20,INDIRECT($Q$3),T$6,0))</f>
        <v>1.0010329364749999</v>
      </c>
      <c r="AB20" s="62" t="str">
        <f t="shared" si="19"/>
        <v>20th</v>
      </c>
      <c r="AC20" s="63" t="str">
        <f t="shared" si="16"/>
        <v>Y</v>
      </c>
      <c r="AE20" s="85">
        <f t="shared" ca="1" si="17"/>
        <v>1</v>
      </c>
    </row>
    <row r="21" spans="1:31" x14ac:dyDescent="0.3">
      <c r="A21" s="86">
        <f t="shared" ca="1" si="18"/>
        <v>1.1906891138999998</v>
      </c>
      <c r="B21" s="25" t="s">
        <v>35</v>
      </c>
      <c r="I21" s="59"/>
      <c r="J21" s="38"/>
      <c r="K21" s="33"/>
      <c r="Q21" s="69" t="s">
        <v>113</v>
      </c>
      <c r="R21" s="71" t="s">
        <v>109</v>
      </c>
      <c r="T21" s="84" cm="1">
        <f t="array" aca="1" ref="T21" ca="1">IF($R21="Y",VLOOKUP($Q21,INDIRECT($Q$3),T$6,0)*INDIRECT($P$2),VLOOKUP($Q21,INDIRECT($Q$3),T$6,0))</f>
        <v>1.1906891138999998</v>
      </c>
      <c r="AB21" s="62" t="str">
        <f t="shared" si="19"/>
        <v>25th</v>
      </c>
      <c r="AC21" s="63" t="str">
        <f t="shared" si="16"/>
        <v>Y</v>
      </c>
      <c r="AE21" s="85">
        <f t="shared" ca="1" si="17"/>
        <v>1.19</v>
      </c>
    </row>
    <row r="22" spans="1:31" x14ac:dyDescent="0.3">
      <c r="A22" s="37"/>
      <c r="B22" s="37"/>
      <c r="C22" s="25"/>
      <c r="J22" s="38"/>
      <c r="K22" s="33"/>
      <c r="T22" s="84"/>
    </row>
    <row r="23" spans="1:31" x14ac:dyDescent="0.3">
      <c r="A23" s="20" t="s">
        <v>39</v>
      </c>
      <c r="B23" s="20"/>
      <c r="T23" s="84"/>
    </row>
    <row r="24" spans="1:31" x14ac:dyDescent="0.3">
      <c r="A24" s="31" t="s">
        <v>38</v>
      </c>
      <c r="B24" s="31"/>
      <c r="T24" s="84"/>
    </row>
    <row r="25" spans="1:31" x14ac:dyDescent="0.3">
      <c r="A25" s="31" t="str">
        <f ca="1">"and 2:00 a.m. shall be paid an additional "&amp;TEXT(T25,"$#.00")&amp;" per hour for all hours worked on such shift."</f>
        <v>and 2:00 a.m. shall be paid an additional $1.71 per hour for all hours worked on such shift.</v>
      </c>
      <c r="B25" s="31"/>
      <c r="Q25" s="77" t="s">
        <v>100</v>
      </c>
      <c r="R25" s="71" t="s">
        <v>109</v>
      </c>
      <c r="T25" s="84" cm="1">
        <f t="array" aca="1" ref="T25" ca="1">IF($R25="Y",VLOOKUP($Q25,INDIRECT($Q$3),T$6,0)*INDIRECT($P$2),VLOOKUP($Q25,INDIRECT($Q$3),T$6,0))</f>
        <v>1.7081615979999996</v>
      </c>
      <c r="AB25" s="62" t="str">
        <f t="shared" ref="AB25:AC26" si="20">Q25</f>
        <v>CVTAM1</v>
      </c>
      <c r="AC25" s="63" t="str">
        <f t="shared" si="20"/>
        <v>Y</v>
      </c>
      <c r="AE25" s="85">
        <f t="shared" ref="AE25:AE26" ca="1" si="21">ROUND(T25,2)</f>
        <v>1.71</v>
      </c>
    </row>
    <row r="26" spans="1:31" x14ac:dyDescent="0.3">
      <c r="Q26" s="77" t="s">
        <v>98</v>
      </c>
      <c r="R26" s="71" t="s">
        <v>109</v>
      </c>
      <c r="T26" s="84" cm="1">
        <f t="array" aca="1" ref="T26" ca="1">IF($R26="Y",VLOOKUP($Q26,INDIRECT($Q$3),T$6,0)*INDIRECT($P$2),VLOOKUP($Q26,INDIRECT($Q$3),T$6,0))</f>
        <v>1.7081615979999996</v>
      </c>
      <c r="AB26" s="62" t="str">
        <f t="shared" si="20"/>
        <v>CVTEVE</v>
      </c>
      <c r="AC26" s="63" t="str">
        <f t="shared" si="20"/>
        <v>Y</v>
      </c>
      <c r="AE26" s="85">
        <f t="shared" ca="1" si="21"/>
        <v>1.71</v>
      </c>
    </row>
  </sheetData>
  <sheetProtection sheet="1" objects="1" scenarios="1"/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D213-4106-4F77-933A-F3710DAC3507}">
  <sheetPr>
    <pageSetUpPr fitToPage="1"/>
  </sheetPr>
  <dimension ref="A1:AK25"/>
  <sheetViews>
    <sheetView showGridLines="0" tabSelected="1" workbookViewId="0">
      <selection activeCell="A6" sqref="A6"/>
    </sheetView>
  </sheetViews>
  <sheetFormatPr defaultColWidth="9.109375" defaultRowHeight="14.4" x14ac:dyDescent="0.3"/>
  <cols>
    <col min="1" max="2" width="7" style="23" customWidth="1"/>
    <col min="3" max="3" width="32.88671875" style="23" customWidth="1"/>
    <col min="4" max="4" width="5.88671875" style="23" bestFit="1" customWidth="1"/>
    <col min="5" max="5" width="4.109375" style="23" bestFit="1" customWidth="1"/>
    <col min="6" max="6" width="6.44140625" style="23" bestFit="1" customWidth="1"/>
    <col min="7" max="7" width="8.44140625" style="23" bestFit="1" customWidth="1"/>
    <col min="8" max="8" width="9" style="23" customWidth="1"/>
    <col min="9" max="9" width="8.5546875" style="23" bestFit="1" customWidth="1"/>
    <col min="10" max="14" width="7.5546875" style="23" bestFit="1" customWidth="1"/>
    <col min="15" max="15" width="1.5546875" style="23" bestFit="1" customWidth="1"/>
    <col min="16" max="16" width="14" style="69" hidden="1" customWidth="1"/>
    <col min="17" max="17" width="9" style="69" hidden="1" customWidth="1"/>
    <col min="18" max="18" width="7.5546875" style="71" hidden="1" customWidth="1"/>
    <col min="19" max="19" width="9.44140625" style="71" hidden="1" customWidth="1"/>
    <col min="20" max="20" width="8.5546875" style="71" hidden="1" customWidth="1"/>
    <col min="21" max="26" width="6.5546875" style="71" hidden="1" customWidth="1"/>
    <col min="27" max="27" width="9.109375" style="23" hidden="1" customWidth="1"/>
    <col min="28" max="28" width="13.5546875" style="62" hidden="1" customWidth="1"/>
    <col min="29" max="29" width="7.5546875" style="63" hidden="1" customWidth="1"/>
    <col min="30" max="30" width="9.44140625" style="63" hidden="1" customWidth="1"/>
    <col min="31" max="31" width="8.5546875" style="62" hidden="1" customWidth="1"/>
    <col min="32" max="37" width="7.5546875" style="62" hidden="1" customWidth="1"/>
    <col min="38" max="16384" width="9.109375" style="23"/>
  </cols>
  <sheetData>
    <row r="1" spans="1:37" s="79" customFormat="1" ht="15.6" x14ac:dyDescent="0.3">
      <c r="A1" s="79" t="s">
        <v>127</v>
      </c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B1" s="82"/>
      <c r="AC1" s="83"/>
      <c r="AD1" s="83"/>
      <c r="AE1" s="82"/>
      <c r="AF1" s="82"/>
      <c r="AG1" s="82"/>
      <c r="AH1" s="82"/>
      <c r="AI1" s="82"/>
      <c r="AJ1" s="82"/>
      <c r="AK1" s="82"/>
    </row>
    <row r="2" spans="1:37" x14ac:dyDescent="0.3">
      <c r="A2" s="22" t="s">
        <v>75</v>
      </c>
      <c r="B2" s="22"/>
      <c r="P2" s="69" t="s">
        <v>132</v>
      </c>
      <c r="Q2" s="70">
        <v>1.04</v>
      </c>
    </row>
    <row r="3" spans="1:37" x14ac:dyDescent="0.3">
      <c r="A3" s="22" t="s">
        <v>131</v>
      </c>
      <c r="B3" s="22"/>
      <c r="L3" s="24"/>
      <c r="M3" s="24"/>
      <c r="P3" s="69" t="s">
        <v>115</v>
      </c>
      <c r="Q3" s="69" t="s">
        <v>133</v>
      </c>
    </row>
    <row r="4" spans="1:37" x14ac:dyDescent="0.3">
      <c r="A4" s="25" t="s">
        <v>2</v>
      </c>
      <c r="B4" s="25"/>
    </row>
    <row r="5" spans="1:37" x14ac:dyDescent="0.3">
      <c r="A5" s="25" t="s">
        <v>141</v>
      </c>
      <c r="B5" s="25"/>
      <c r="P5" s="78" t="s">
        <v>126</v>
      </c>
      <c r="AB5" s="62" t="s">
        <v>125</v>
      </c>
    </row>
    <row r="6" spans="1:37" x14ac:dyDescent="0.3">
      <c r="O6" s="23" t="s">
        <v>76</v>
      </c>
      <c r="T6" s="71">
        <v>4</v>
      </c>
      <c r="U6" s="71">
        <f>T6+1</f>
        <v>5</v>
      </c>
      <c r="V6" s="71">
        <f t="shared" ref="V6:Z6" si="0">U6+1</f>
        <v>6</v>
      </c>
      <c r="W6" s="71">
        <f t="shared" si="0"/>
        <v>7</v>
      </c>
      <c r="X6" s="71">
        <f t="shared" si="0"/>
        <v>8</v>
      </c>
      <c r="Y6" s="71">
        <f t="shared" si="0"/>
        <v>9</v>
      </c>
      <c r="Z6" s="71">
        <f t="shared" si="0"/>
        <v>10</v>
      </c>
    </row>
    <row r="7" spans="1:37" ht="29.4" thickBot="1" x14ac:dyDescent="0.35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73" t="s">
        <v>10</v>
      </c>
      <c r="V7" s="73" t="s">
        <v>11</v>
      </c>
      <c r="W7" s="73" t="s">
        <v>12</v>
      </c>
      <c r="X7" s="73" t="s">
        <v>13</v>
      </c>
      <c r="Y7" s="73" t="s">
        <v>14</v>
      </c>
      <c r="Z7" s="73" t="s">
        <v>15</v>
      </c>
      <c r="AB7" s="64" t="s">
        <v>3</v>
      </c>
      <c r="AC7" s="65" t="s">
        <v>108</v>
      </c>
      <c r="AD7" s="65" t="s">
        <v>66</v>
      </c>
      <c r="AE7" s="66" t="s">
        <v>9</v>
      </c>
      <c r="AF7" s="65" t="s">
        <v>10</v>
      </c>
      <c r="AG7" s="65" t="s">
        <v>11</v>
      </c>
      <c r="AH7" s="65" t="s">
        <v>12</v>
      </c>
      <c r="AI7" s="65" t="s">
        <v>13</v>
      </c>
      <c r="AJ7" s="65" t="s">
        <v>14</v>
      </c>
      <c r="AK7" s="65" t="s">
        <v>15</v>
      </c>
    </row>
    <row r="8" spans="1:37" x14ac:dyDescent="0.3">
      <c r="A8" s="23" t="s">
        <v>19</v>
      </c>
      <c r="B8" s="49" t="s">
        <v>74</v>
      </c>
      <c r="C8" s="23" t="s">
        <v>20</v>
      </c>
      <c r="D8" s="39" t="s">
        <v>17</v>
      </c>
      <c r="E8" s="39">
        <v>168</v>
      </c>
      <c r="F8" s="39">
        <v>3</v>
      </c>
      <c r="G8" s="39" t="s">
        <v>18</v>
      </c>
      <c r="H8" s="54">
        <f t="shared" ref="H8:H9" ca="1" si="1">T8</f>
        <v>24.164156365777995</v>
      </c>
      <c r="I8" s="54">
        <f t="shared" ref="I8:N9" ca="1" si="2">U8</f>
        <v>25.409004250344001</v>
      </c>
      <c r="J8" s="54">
        <f t="shared" ca="1" si="2"/>
        <v>26.656464617353993</v>
      </c>
      <c r="K8" s="54">
        <f t="shared" ca="1" si="2"/>
        <v>27.964012080575998</v>
      </c>
      <c r="L8" s="54">
        <f t="shared" ca="1" si="2"/>
        <v>29.336871604897997</v>
      </c>
      <c r="M8" s="54">
        <f t="shared" ca="1" si="2"/>
        <v>30.778961913985999</v>
      </c>
      <c r="N8" s="54">
        <f t="shared" ca="1" si="2"/>
        <v>32.294201731505993</v>
      </c>
      <c r="Q8" s="69" t="str">
        <f t="shared" ref="Q8:Q9" si="3">A8</f>
        <v>05355C</v>
      </c>
      <c r="R8" s="71" t="s">
        <v>109</v>
      </c>
      <c r="S8" s="75" t="str">
        <f t="shared" ref="S8:S9" si="4">B8</f>
        <v xml:space="preserve"> 04</v>
      </c>
      <c r="T8" s="84" cm="1">
        <f t="array" aca="1" ref="T8" ca="1">IF($R8="Y",VLOOKUP($Q8,INDIRECT($Q$3),T$6,0)*INDIRECT($P$2),VLOOKUP($Q8,INDIRECT($Q$3),T$6,0))</f>
        <v>24.164156365777995</v>
      </c>
      <c r="U8" s="84" cm="1">
        <f t="array" aca="1" ref="U8" ca="1">IF($R8="Y",VLOOKUP($Q8,INDIRECT($Q$3),U$6,0)*INDIRECT($P$2),VLOOKUP($Q8,INDIRECT($Q$3),U$6,0))</f>
        <v>25.409004250344001</v>
      </c>
      <c r="V8" s="84" cm="1">
        <f t="array" aca="1" ref="V8" ca="1">IF($R8="Y",VLOOKUP($Q8,INDIRECT($Q$3),V$6,0)*INDIRECT($P$2),VLOOKUP($Q8,INDIRECT($Q$3),V$6,0))</f>
        <v>26.656464617353993</v>
      </c>
      <c r="W8" s="84" cm="1">
        <f t="array" aca="1" ref="W8" ca="1">IF($R8="Y",VLOOKUP($Q8,INDIRECT($Q$3),W$6,0)*INDIRECT($P$2),VLOOKUP($Q8,INDIRECT($Q$3),W$6,0))</f>
        <v>27.964012080575998</v>
      </c>
      <c r="X8" s="84" cm="1">
        <f t="array" aca="1" ref="X8" ca="1">IF($R8="Y",VLOOKUP($Q8,INDIRECT($Q$3),X$6,0)*INDIRECT($P$2),VLOOKUP($Q8,INDIRECT($Q$3),X$6,0))</f>
        <v>29.336871604897997</v>
      </c>
      <c r="Y8" s="84" cm="1">
        <f t="array" aca="1" ref="Y8" ca="1">IF($R8="Y",VLOOKUP($Q8,INDIRECT($Q$3),Y$6,0)*INDIRECT($P$2),VLOOKUP($Q8,INDIRECT($Q$3),Y$6,0))</f>
        <v>30.778961913985999</v>
      </c>
      <c r="Z8" s="84" cm="1">
        <f t="array" aca="1" ref="Z8" ca="1">IF($R8="Y",VLOOKUP($Q8,INDIRECT($Q$3),Z$6,0)*INDIRECT($P$2),VLOOKUP($Q8,INDIRECT($Q$3),Z$6,0))</f>
        <v>32.294201731505993</v>
      </c>
      <c r="AB8" s="62" t="str">
        <f t="shared" ref="AB8:AB9" si="5">A8</f>
        <v>05355C</v>
      </c>
      <c r="AC8" s="63" t="str">
        <f t="shared" ref="AC8:AC9" si="6">R8</f>
        <v>Y</v>
      </c>
      <c r="AD8" s="67" t="str">
        <f t="shared" ref="AD8:AD9" si="7">B8</f>
        <v xml:space="preserve"> 04</v>
      </c>
      <c r="AE8" s="85">
        <f t="shared" ref="AE8:AE9" ca="1" si="8">ROUND(T8,2)</f>
        <v>24.16</v>
      </c>
      <c r="AF8" s="85">
        <f t="shared" ref="AF8:AK9" ca="1" si="9">ROUND(U8,2)</f>
        <v>25.41</v>
      </c>
      <c r="AG8" s="85">
        <f t="shared" ca="1" si="9"/>
        <v>26.66</v>
      </c>
      <c r="AH8" s="85">
        <f t="shared" ca="1" si="9"/>
        <v>27.96</v>
      </c>
      <c r="AI8" s="85">
        <f t="shared" ca="1" si="9"/>
        <v>29.34</v>
      </c>
      <c r="AJ8" s="85">
        <f t="shared" ca="1" si="9"/>
        <v>30.78</v>
      </c>
      <c r="AK8" s="85">
        <f t="shared" ca="1" si="9"/>
        <v>32.29</v>
      </c>
    </row>
    <row r="9" spans="1:37" x14ac:dyDescent="0.3">
      <c r="A9" s="23" t="s">
        <v>21</v>
      </c>
      <c r="B9" s="49" t="s">
        <v>138</v>
      </c>
      <c r="C9" s="23" t="s">
        <v>137</v>
      </c>
      <c r="D9" s="39" t="s">
        <v>17</v>
      </c>
      <c r="E9" s="39">
        <v>168</v>
      </c>
      <c r="F9" s="39">
        <v>3</v>
      </c>
      <c r="G9" s="39" t="s">
        <v>18</v>
      </c>
      <c r="H9" s="54">
        <f t="shared" si="1"/>
        <v>25.41</v>
      </c>
      <c r="I9" s="54">
        <f t="shared" si="2"/>
        <v>26.66</v>
      </c>
      <c r="J9" s="54">
        <f t="shared" si="2"/>
        <v>27.96</v>
      </c>
      <c r="K9" s="54">
        <f t="shared" si="2"/>
        <v>29.34</v>
      </c>
      <c r="L9" s="54">
        <f t="shared" si="2"/>
        <v>30.78</v>
      </c>
      <c r="M9" s="54">
        <f t="shared" si="2"/>
        <v>32.29</v>
      </c>
      <c r="N9" s="54">
        <f t="shared" si="2"/>
        <v>33.26</v>
      </c>
      <c r="Q9" s="69" t="str">
        <f t="shared" si="3"/>
        <v>04185C</v>
      </c>
      <c r="R9" s="71" t="s">
        <v>109</v>
      </c>
      <c r="S9" s="75" t="str">
        <f t="shared" si="4"/>
        <v>05</v>
      </c>
      <c r="T9" s="84">
        <v>25.41</v>
      </c>
      <c r="U9" s="84">
        <v>26.66</v>
      </c>
      <c r="V9" s="84">
        <v>27.96</v>
      </c>
      <c r="W9" s="84">
        <v>29.34</v>
      </c>
      <c r="X9" s="84">
        <v>30.78</v>
      </c>
      <c r="Y9" s="84">
        <v>32.29</v>
      </c>
      <c r="Z9" s="84">
        <v>33.26</v>
      </c>
      <c r="AB9" s="62" t="str">
        <f t="shared" si="5"/>
        <v>04185C</v>
      </c>
      <c r="AC9" s="63" t="str">
        <f t="shared" si="6"/>
        <v>Y</v>
      </c>
      <c r="AD9" s="67" t="str">
        <f t="shared" si="7"/>
        <v>05</v>
      </c>
      <c r="AE9" s="85">
        <f t="shared" si="8"/>
        <v>25.41</v>
      </c>
      <c r="AF9" s="85">
        <f t="shared" si="9"/>
        <v>26.66</v>
      </c>
      <c r="AG9" s="85">
        <f t="shared" si="9"/>
        <v>27.96</v>
      </c>
      <c r="AH9" s="85">
        <f t="shared" si="9"/>
        <v>29.34</v>
      </c>
      <c r="AI9" s="85">
        <f t="shared" si="9"/>
        <v>30.78</v>
      </c>
      <c r="AJ9" s="85">
        <f t="shared" si="9"/>
        <v>32.29</v>
      </c>
      <c r="AK9" s="85">
        <f t="shared" si="9"/>
        <v>33.26</v>
      </c>
    </row>
    <row r="10" spans="1:37" x14ac:dyDescent="0.3">
      <c r="H10" s="60"/>
      <c r="I10" s="60"/>
      <c r="J10" s="60"/>
      <c r="K10" s="60"/>
      <c r="L10" s="60"/>
      <c r="M10" s="60"/>
      <c r="N10" s="60"/>
      <c r="Z10" s="84"/>
    </row>
    <row r="11" spans="1:37" x14ac:dyDescent="0.3">
      <c r="A11" s="20" t="s">
        <v>23</v>
      </c>
      <c r="B11" s="20"/>
      <c r="H11" s="61"/>
      <c r="I11" s="61"/>
      <c r="J11" s="61"/>
      <c r="K11" s="61"/>
      <c r="L11" s="61"/>
      <c r="M11" s="61"/>
      <c r="N11" s="61"/>
    </row>
    <row r="12" spans="1:37" x14ac:dyDescent="0.3">
      <c r="A12" s="31" t="str">
        <f ca="1">"When an employee is assigned as a lead worker, the employee shall receive an additional "&amp;TEXT(T12,"$#,###.00")&amp;" oer hour for all hours worked."</f>
        <v>When an employee is assigned as a lead worker, the employee shall receive an additional $2.88 oer hour for all hours worked.</v>
      </c>
      <c r="B12" s="31"/>
      <c r="C12" s="32"/>
      <c r="D12" s="33"/>
      <c r="E12" s="34"/>
      <c r="F12" s="33"/>
      <c r="G12" s="33"/>
      <c r="H12" s="33"/>
      <c r="I12" s="33"/>
      <c r="J12" s="33"/>
      <c r="K12" s="33"/>
      <c r="Q12" s="69" t="s">
        <v>102</v>
      </c>
      <c r="R12" s="71" t="s">
        <v>109</v>
      </c>
      <c r="T12" s="84" cm="1">
        <f t="array" aca="1" ref="T12" ca="1">IF($R12="Y",VLOOKUP($Q12,INDIRECT($Q$3),T$6,0)*INDIRECT($P$2),VLOOKUP($Q12,INDIRECT($Q$3),T$6,0))</f>
        <v>2.8841806181759999</v>
      </c>
      <c r="AB12" s="62" t="str">
        <f>Q12</f>
        <v>CVTLDS</v>
      </c>
      <c r="AC12" s="63" t="str">
        <f>R12</f>
        <v>Y</v>
      </c>
      <c r="AE12" s="85">
        <f ca="1">ROUND(T12,2)</f>
        <v>2.88</v>
      </c>
    </row>
    <row r="13" spans="1:37" x14ac:dyDescent="0.3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  <c r="T13" s="84"/>
    </row>
    <row r="14" spans="1:37" x14ac:dyDescent="0.3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  <c r="T14" s="84"/>
    </row>
    <row r="15" spans="1:37" x14ac:dyDescent="0.3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  <c r="T15" s="84"/>
    </row>
    <row r="16" spans="1:37" x14ac:dyDescent="0.3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  <c r="T16" s="84"/>
    </row>
    <row r="17" spans="1:31" x14ac:dyDescent="0.3">
      <c r="A17" s="86">
        <f ca="1">T17</f>
        <v>0.680551676662</v>
      </c>
      <c r="B17" s="25" t="s">
        <v>32</v>
      </c>
      <c r="I17" s="59"/>
      <c r="J17" s="38"/>
      <c r="K17" s="33"/>
      <c r="Q17" s="69" t="s">
        <v>110</v>
      </c>
      <c r="R17" s="71" t="s">
        <v>109</v>
      </c>
      <c r="T17" s="84" cm="1">
        <f t="array" aca="1" ref="T17" ca="1">IF($R17="Y",VLOOKUP($Q17,INDIRECT($Q$3),T$6,0)*INDIRECT($P$2),VLOOKUP($Q17,INDIRECT($Q$3),T$6,0))</f>
        <v>0.680551676662</v>
      </c>
      <c r="AB17" s="62" t="str">
        <f>Q17</f>
        <v>10th</v>
      </c>
      <c r="AC17" s="63" t="str">
        <f t="shared" ref="AC17:AC20" si="10">R17</f>
        <v>Y</v>
      </c>
      <c r="AE17" s="85">
        <f t="shared" ref="AE17:AE20" ca="1" si="11">ROUND(T17,2)</f>
        <v>0.68</v>
      </c>
    </row>
    <row r="18" spans="1:31" x14ac:dyDescent="0.3">
      <c r="A18" s="86">
        <f t="shared" ref="A18:A20" ca="1" si="12">T18</f>
        <v>0.93788119739599973</v>
      </c>
      <c r="B18" s="25" t="s">
        <v>33</v>
      </c>
      <c r="I18" s="59"/>
      <c r="J18" s="38"/>
      <c r="K18" s="33"/>
      <c r="Q18" s="69" t="s">
        <v>111</v>
      </c>
      <c r="R18" s="71" t="s">
        <v>109</v>
      </c>
      <c r="T18" s="84" cm="1">
        <f t="array" aca="1" ref="T18" ca="1">IF($R18="Y",VLOOKUP($Q18,INDIRECT($Q$3),T$6,0)*INDIRECT($P$2),VLOOKUP($Q18,INDIRECT($Q$3),T$6,0))</f>
        <v>0.93788119739599973</v>
      </c>
      <c r="AB18" s="62" t="str">
        <f t="shared" ref="AB18:AB20" si="13">Q18</f>
        <v>15th</v>
      </c>
      <c r="AC18" s="63" t="str">
        <f t="shared" si="10"/>
        <v>Y</v>
      </c>
      <c r="AE18" s="85">
        <f t="shared" ca="1" si="11"/>
        <v>0.94</v>
      </c>
    </row>
    <row r="19" spans="1:31" x14ac:dyDescent="0.3">
      <c r="A19" s="86">
        <f t="shared" ca="1" si="12"/>
        <v>1.0410742539339999</v>
      </c>
      <c r="B19" s="25" t="s">
        <v>34</v>
      </c>
      <c r="I19" s="59"/>
      <c r="J19" s="38"/>
      <c r="K19" s="33"/>
      <c r="Q19" s="69" t="s">
        <v>112</v>
      </c>
      <c r="R19" s="71" t="s">
        <v>109</v>
      </c>
      <c r="T19" s="84" cm="1">
        <f t="array" aca="1" ref="T19" ca="1">IF($R19="Y",VLOOKUP($Q19,INDIRECT($Q$3),T$6,0)*INDIRECT($P$2),VLOOKUP($Q19,INDIRECT($Q$3),T$6,0))</f>
        <v>1.0410742539339999</v>
      </c>
      <c r="AB19" s="62" t="str">
        <f t="shared" si="13"/>
        <v>20th</v>
      </c>
      <c r="AC19" s="63" t="str">
        <f t="shared" si="10"/>
        <v>Y</v>
      </c>
      <c r="AE19" s="85">
        <f t="shared" ca="1" si="11"/>
        <v>1.04</v>
      </c>
    </row>
    <row r="20" spans="1:31" x14ac:dyDescent="0.3">
      <c r="A20" s="86">
        <f t="shared" ca="1" si="12"/>
        <v>1.2383166784559998</v>
      </c>
      <c r="B20" s="25" t="s">
        <v>35</v>
      </c>
      <c r="I20" s="59"/>
      <c r="J20" s="38"/>
      <c r="K20" s="33"/>
      <c r="Q20" s="69" t="s">
        <v>113</v>
      </c>
      <c r="R20" s="71" t="s">
        <v>109</v>
      </c>
      <c r="T20" s="84" cm="1">
        <f t="array" aca="1" ref="T20" ca="1">IF($R20="Y",VLOOKUP($Q20,INDIRECT($Q$3),T$6,0)*INDIRECT($P$2),VLOOKUP($Q20,INDIRECT($Q$3),T$6,0))</f>
        <v>1.2383166784559998</v>
      </c>
      <c r="AB20" s="62" t="str">
        <f t="shared" si="13"/>
        <v>25th</v>
      </c>
      <c r="AC20" s="63" t="str">
        <f t="shared" si="10"/>
        <v>Y</v>
      </c>
      <c r="AE20" s="85">
        <f t="shared" ca="1" si="11"/>
        <v>1.24</v>
      </c>
    </row>
    <row r="21" spans="1:31" x14ac:dyDescent="0.3">
      <c r="A21" s="37"/>
      <c r="B21" s="37"/>
      <c r="C21" s="25"/>
      <c r="J21" s="38"/>
      <c r="K21" s="33"/>
      <c r="T21" s="84"/>
    </row>
    <row r="22" spans="1:31" x14ac:dyDescent="0.3">
      <c r="A22" s="20" t="s">
        <v>39</v>
      </c>
      <c r="B22" s="20"/>
      <c r="T22" s="84"/>
    </row>
    <row r="23" spans="1:31" x14ac:dyDescent="0.3">
      <c r="A23" s="31" t="s">
        <v>38</v>
      </c>
      <c r="B23" s="31"/>
      <c r="T23" s="84"/>
    </row>
    <row r="24" spans="1:31" x14ac:dyDescent="0.3">
      <c r="A24" s="31" t="str">
        <f ca="1">"and 2:00 a.m. shall be paid an additional "&amp;TEXT(T24,"$#.00")&amp;" per hour for all hours worked on such shift."</f>
        <v>and 2:00 a.m. shall be paid an additional $1.78 per hour for all hours worked on such shift.</v>
      </c>
      <c r="B24" s="31"/>
      <c r="Q24" s="77" t="s">
        <v>100</v>
      </c>
      <c r="R24" s="71" t="s">
        <v>109</v>
      </c>
      <c r="T24" s="84" cm="1">
        <f t="array" aca="1" ref="T24" ca="1">IF($R24="Y",VLOOKUP($Q24,INDIRECT($Q$3),T$6,0)*INDIRECT($P$2),VLOOKUP($Q24,INDIRECT($Q$3),T$6,0))</f>
        <v>1.7764880619199996</v>
      </c>
      <c r="AB24" s="62" t="str">
        <f t="shared" ref="AB24:AC25" si="14">Q24</f>
        <v>CVTAM1</v>
      </c>
      <c r="AC24" s="63" t="str">
        <f t="shared" si="14"/>
        <v>Y</v>
      </c>
      <c r="AE24" s="85">
        <f t="shared" ref="AE24:AE25" ca="1" si="15">ROUND(T24,2)</f>
        <v>1.78</v>
      </c>
    </row>
    <row r="25" spans="1:31" x14ac:dyDescent="0.3">
      <c r="Q25" s="77" t="s">
        <v>98</v>
      </c>
      <c r="R25" s="71" t="s">
        <v>109</v>
      </c>
      <c r="T25" s="84" cm="1">
        <f t="array" aca="1" ref="T25" ca="1">IF($R25="Y",VLOOKUP($Q25,INDIRECT($Q$3),T$6,0)*INDIRECT($P$2),VLOOKUP($Q25,INDIRECT($Q$3),T$6,0))</f>
        <v>1.7764880619199996</v>
      </c>
      <c r="AB25" s="62" t="str">
        <f t="shared" si="14"/>
        <v>CVTEVE</v>
      </c>
      <c r="AC25" s="63" t="str">
        <f t="shared" si="14"/>
        <v>Y</v>
      </c>
      <c r="AE25" s="85">
        <f t="shared" ca="1" si="15"/>
        <v>1.78</v>
      </c>
    </row>
  </sheetData>
  <sheetProtection sheet="1" objects="1" scenarios="1"/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D144-BC26-4453-9B83-B316E833A1AB}">
  <sheetPr>
    <pageSetUpPr fitToPage="1"/>
  </sheetPr>
  <dimension ref="A1:AK25"/>
  <sheetViews>
    <sheetView showGridLines="0" workbookViewId="0">
      <selection activeCell="A6" sqref="A6"/>
    </sheetView>
  </sheetViews>
  <sheetFormatPr defaultColWidth="9.109375" defaultRowHeight="14.4" x14ac:dyDescent="0.3"/>
  <cols>
    <col min="1" max="2" width="7" style="23" customWidth="1"/>
    <col min="3" max="3" width="32.88671875" style="23" customWidth="1"/>
    <col min="4" max="4" width="5.88671875" style="23" bestFit="1" customWidth="1"/>
    <col min="5" max="5" width="4.109375" style="23" bestFit="1" customWidth="1"/>
    <col min="6" max="6" width="6.44140625" style="23" bestFit="1" customWidth="1"/>
    <col min="7" max="7" width="8.44140625" style="23" bestFit="1" customWidth="1"/>
    <col min="8" max="8" width="9" style="23" customWidth="1"/>
    <col min="9" max="9" width="8.5546875" style="23" bestFit="1" customWidth="1"/>
    <col min="10" max="14" width="7.5546875" style="23" bestFit="1" customWidth="1"/>
    <col min="15" max="15" width="1.5546875" style="23" bestFit="1" customWidth="1"/>
    <col min="16" max="16" width="14" style="69" hidden="1" customWidth="1"/>
    <col min="17" max="17" width="9" style="69" hidden="1" customWidth="1"/>
    <col min="18" max="18" width="7.5546875" style="71" hidden="1" customWidth="1"/>
    <col min="19" max="19" width="9.44140625" style="71" hidden="1" customWidth="1"/>
    <col min="20" max="20" width="8.5546875" style="71" hidden="1" customWidth="1"/>
    <col min="21" max="26" width="6.5546875" style="71" hidden="1" customWidth="1"/>
    <col min="27" max="27" width="9.109375" style="23" hidden="1" customWidth="1"/>
    <col min="28" max="28" width="13.5546875" style="62" hidden="1" customWidth="1"/>
    <col min="29" max="29" width="7.5546875" style="63" hidden="1" customWidth="1"/>
    <col min="30" max="30" width="9.44140625" style="63" hidden="1" customWidth="1"/>
    <col min="31" max="31" width="8.5546875" style="62" hidden="1" customWidth="1"/>
    <col min="32" max="37" width="7.5546875" style="62" hidden="1" customWidth="1"/>
    <col min="38" max="16384" width="9.109375" style="23"/>
  </cols>
  <sheetData>
    <row r="1" spans="1:37" s="79" customFormat="1" ht="15.6" x14ac:dyDescent="0.3">
      <c r="A1" s="79" t="s">
        <v>127</v>
      </c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B1" s="82"/>
      <c r="AC1" s="83"/>
      <c r="AD1" s="83"/>
      <c r="AE1" s="82"/>
      <c r="AF1" s="82"/>
      <c r="AG1" s="82"/>
      <c r="AH1" s="82"/>
      <c r="AI1" s="82"/>
      <c r="AJ1" s="82"/>
      <c r="AK1" s="82"/>
    </row>
    <row r="2" spans="1:37" x14ac:dyDescent="0.3">
      <c r="A2" s="22" t="s">
        <v>75</v>
      </c>
      <c r="B2" s="22"/>
      <c r="P2" s="69" t="s">
        <v>136</v>
      </c>
      <c r="Q2" s="70">
        <v>1.03</v>
      </c>
    </row>
    <row r="3" spans="1:37" x14ac:dyDescent="0.3">
      <c r="A3" s="22" t="s">
        <v>134</v>
      </c>
      <c r="B3" s="22"/>
      <c r="L3" s="24"/>
      <c r="M3" s="24"/>
      <c r="P3" s="69" t="s">
        <v>115</v>
      </c>
      <c r="Q3" s="69" t="s">
        <v>135</v>
      </c>
    </row>
    <row r="4" spans="1:37" x14ac:dyDescent="0.3">
      <c r="A4" s="25" t="s">
        <v>2</v>
      </c>
      <c r="B4" s="25"/>
    </row>
    <row r="5" spans="1:37" x14ac:dyDescent="0.3">
      <c r="A5" s="25" t="s">
        <v>141</v>
      </c>
      <c r="B5" s="25"/>
      <c r="P5" s="78" t="s">
        <v>126</v>
      </c>
      <c r="AB5" s="62" t="s">
        <v>125</v>
      </c>
    </row>
    <row r="6" spans="1:37" x14ac:dyDescent="0.3">
      <c r="O6" s="23" t="s">
        <v>76</v>
      </c>
      <c r="T6" s="71">
        <v>4</v>
      </c>
      <c r="U6" s="71">
        <f>T6+1</f>
        <v>5</v>
      </c>
      <c r="V6" s="71">
        <f t="shared" ref="V6:Z6" si="0">U6+1</f>
        <v>6</v>
      </c>
      <c r="W6" s="71">
        <f t="shared" si="0"/>
        <v>7</v>
      </c>
      <c r="X6" s="71">
        <f t="shared" si="0"/>
        <v>8</v>
      </c>
      <c r="Y6" s="71">
        <f t="shared" si="0"/>
        <v>9</v>
      </c>
      <c r="Z6" s="71">
        <f t="shared" si="0"/>
        <v>10</v>
      </c>
    </row>
    <row r="7" spans="1:37" ht="29.4" thickBot="1" x14ac:dyDescent="0.35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73" t="s">
        <v>10</v>
      </c>
      <c r="V7" s="73" t="s">
        <v>11</v>
      </c>
      <c r="W7" s="73" t="s">
        <v>12</v>
      </c>
      <c r="X7" s="73" t="s">
        <v>13</v>
      </c>
      <c r="Y7" s="73" t="s">
        <v>14</v>
      </c>
      <c r="Z7" s="73" t="s">
        <v>15</v>
      </c>
      <c r="AB7" s="64" t="s">
        <v>3</v>
      </c>
      <c r="AC7" s="65" t="s">
        <v>108</v>
      </c>
      <c r="AD7" s="65" t="s">
        <v>66</v>
      </c>
      <c r="AE7" s="66" t="s">
        <v>9</v>
      </c>
      <c r="AF7" s="65" t="s">
        <v>10</v>
      </c>
      <c r="AG7" s="65" t="s">
        <v>11</v>
      </c>
      <c r="AH7" s="65" t="s">
        <v>12</v>
      </c>
      <c r="AI7" s="65" t="s">
        <v>13</v>
      </c>
      <c r="AJ7" s="65" t="s">
        <v>14</v>
      </c>
      <c r="AK7" s="65" t="s">
        <v>15</v>
      </c>
    </row>
    <row r="8" spans="1:37" x14ac:dyDescent="0.3">
      <c r="A8" s="23" t="s">
        <v>19</v>
      </c>
      <c r="B8" s="49" t="s">
        <v>74</v>
      </c>
      <c r="C8" s="23" t="s">
        <v>20</v>
      </c>
      <c r="D8" s="39" t="s">
        <v>17</v>
      </c>
      <c r="E8" s="39">
        <v>168</v>
      </c>
      <c r="F8" s="39">
        <v>3</v>
      </c>
      <c r="G8" s="39" t="s">
        <v>18</v>
      </c>
      <c r="H8" s="54">
        <f t="shared" ref="H8:N9" ca="1" si="1">T8</f>
        <v>24.889081056751337</v>
      </c>
      <c r="I8" s="54">
        <f t="shared" ca="1" si="1"/>
        <v>26.171274377854321</v>
      </c>
      <c r="J8" s="54">
        <f t="shared" ca="1" si="1"/>
        <v>27.456158555874612</v>
      </c>
      <c r="K8" s="54">
        <f t="shared" ca="1" si="1"/>
        <v>28.802932442993278</v>
      </c>
      <c r="L8" s="54">
        <f t="shared" ca="1" si="1"/>
        <v>30.216977753044937</v>
      </c>
      <c r="M8" s="54">
        <f t="shared" ca="1" si="1"/>
        <v>31.702330771405581</v>
      </c>
      <c r="N8" s="54">
        <f t="shared" ca="1" si="1"/>
        <v>33.263027783451172</v>
      </c>
      <c r="Q8" s="69" t="str">
        <f t="shared" ref="Q8:Q9" si="2">A8</f>
        <v>05355C</v>
      </c>
      <c r="R8" s="71" t="s">
        <v>109</v>
      </c>
      <c r="S8" s="75" t="str">
        <f t="shared" ref="S8:S9" si="3">B8</f>
        <v xml:space="preserve"> 04</v>
      </c>
      <c r="T8" s="84" cm="1">
        <f t="array" aca="1" ref="T8" ca="1">IF($R8="Y",VLOOKUP($Q8,INDIRECT($Q$3),T$6,0)*INDIRECT($P$2),VLOOKUP($Q8,INDIRECT($Q$3),T$6,0))</f>
        <v>24.889081056751337</v>
      </c>
      <c r="U8" s="84" cm="1">
        <f t="array" aca="1" ref="U8" ca="1">IF($R8="Y",VLOOKUP($Q8,INDIRECT($Q$3),U$6,0)*INDIRECT($P$2),VLOOKUP($Q8,INDIRECT($Q$3),U$6,0))</f>
        <v>26.171274377854321</v>
      </c>
      <c r="V8" s="84" cm="1">
        <f t="array" aca="1" ref="V8" ca="1">IF($R8="Y",VLOOKUP($Q8,INDIRECT($Q$3),V$6,0)*INDIRECT($P$2),VLOOKUP($Q8,INDIRECT($Q$3),V$6,0))</f>
        <v>27.456158555874612</v>
      </c>
      <c r="W8" s="84" cm="1">
        <f t="array" aca="1" ref="W8" ca="1">IF($R8="Y",VLOOKUP($Q8,INDIRECT($Q$3),W$6,0)*INDIRECT($P$2),VLOOKUP($Q8,INDIRECT($Q$3),W$6,0))</f>
        <v>28.802932442993278</v>
      </c>
      <c r="X8" s="84" cm="1">
        <f t="array" aca="1" ref="X8" ca="1">IF($R8="Y",VLOOKUP($Q8,INDIRECT($Q$3),X$6,0)*INDIRECT($P$2),VLOOKUP($Q8,INDIRECT($Q$3),X$6,0))</f>
        <v>30.216977753044937</v>
      </c>
      <c r="Y8" s="84" cm="1">
        <f t="array" aca="1" ref="Y8" ca="1">IF($R8="Y",VLOOKUP($Q8,INDIRECT($Q$3),Y$6,0)*INDIRECT($P$2),VLOOKUP($Q8,INDIRECT($Q$3),Y$6,0))</f>
        <v>31.702330771405581</v>
      </c>
      <c r="Z8" s="84" cm="1">
        <f t="array" aca="1" ref="Z8" ca="1">IF($R8="Y",VLOOKUP($Q8,INDIRECT($Q$3),Z$6,0)*INDIRECT($P$2),VLOOKUP($Q8,INDIRECT($Q$3),Z$6,0))</f>
        <v>33.263027783451172</v>
      </c>
      <c r="AB8" s="62" t="str">
        <f t="shared" ref="AB8:AB9" si="4">A8</f>
        <v>05355C</v>
      </c>
      <c r="AC8" s="63" t="str">
        <f t="shared" ref="AC8:AC9" si="5">R8</f>
        <v>Y</v>
      </c>
      <c r="AD8" s="67" t="str">
        <f t="shared" ref="AD8:AD9" si="6">B8</f>
        <v xml:space="preserve"> 04</v>
      </c>
      <c r="AE8" s="85">
        <f t="shared" ref="AE8:AK9" ca="1" si="7">ROUND(T8,2)</f>
        <v>24.89</v>
      </c>
      <c r="AF8" s="85">
        <f t="shared" ca="1" si="7"/>
        <v>26.17</v>
      </c>
      <c r="AG8" s="85">
        <f t="shared" ca="1" si="7"/>
        <v>27.46</v>
      </c>
      <c r="AH8" s="85">
        <f t="shared" ca="1" si="7"/>
        <v>28.8</v>
      </c>
      <c r="AI8" s="85">
        <f t="shared" ca="1" si="7"/>
        <v>30.22</v>
      </c>
      <c r="AJ8" s="85">
        <f t="shared" ca="1" si="7"/>
        <v>31.7</v>
      </c>
      <c r="AK8" s="85">
        <f t="shared" ca="1" si="7"/>
        <v>33.26</v>
      </c>
    </row>
    <row r="9" spans="1:37" x14ac:dyDescent="0.3">
      <c r="A9" s="23" t="s">
        <v>21</v>
      </c>
      <c r="B9" s="49" t="s">
        <v>138</v>
      </c>
      <c r="C9" s="23" t="s">
        <v>137</v>
      </c>
      <c r="D9" s="39" t="s">
        <v>17</v>
      </c>
      <c r="E9" s="39">
        <v>168</v>
      </c>
      <c r="F9" s="39">
        <v>3</v>
      </c>
      <c r="G9" s="39" t="s">
        <v>18</v>
      </c>
      <c r="H9" s="54">
        <f t="shared" ca="1" si="1"/>
        <v>26.1723</v>
      </c>
      <c r="I9" s="54">
        <f t="shared" ca="1" si="1"/>
        <v>27.459800000000001</v>
      </c>
      <c r="J9" s="54">
        <f t="shared" ca="1" si="1"/>
        <v>28.7988</v>
      </c>
      <c r="K9" s="54">
        <f t="shared" ca="1" si="1"/>
        <v>30.220200000000002</v>
      </c>
      <c r="L9" s="54">
        <f t="shared" ca="1" si="1"/>
        <v>31.703400000000002</v>
      </c>
      <c r="M9" s="54">
        <f t="shared" ca="1" si="1"/>
        <v>33.258699999999997</v>
      </c>
      <c r="N9" s="54">
        <f t="shared" ca="1" si="1"/>
        <v>34.257799999999996</v>
      </c>
      <c r="Q9" s="69" t="str">
        <f t="shared" si="2"/>
        <v>04185C</v>
      </c>
      <c r="R9" s="71" t="s">
        <v>109</v>
      </c>
      <c r="S9" s="75" t="str">
        <f t="shared" si="3"/>
        <v>05</v>
      </c>
      <c r="T9" s="84" cm="1">
        <f t="array" aca="1" ref="T9" ca="1">IF($R9="Y",VLOOKUP($Q9,INDIRECT($Q$3),T$6,0)*INDIRECT($P$2),VLOOKUP($Q9,INDIRECT($Q$3),T$6,0))</f>
        <v>26.1723</v>
      </c>
      <c r="U9" s="84" cm="1">
        <f t="array" aca="1" ref="U9" ca="1">IF($R9="Y",VLOOKUP($Q9,INDIRECT($Q$3),U$6,0)*INDIRECT($P$2),VLOOKUP($Q9,INDIRECT($Q$3),U$6,0))</f>
        <v>27.459800000000001</v>
      </c>
      <c r="V9" s="84" cm="1">
        <f t="array" aca="1" ref="V9" ca="1">IF($R9="Y",VLOOKUP($Q9,INDIRECT($Q$3),V$6,0)*INDIRECT($P$2),VLOOKUP($Q9,INDIRECT($Q$3),V$6,0))</f>
        <v>28.7988</v>
      </c>
      <c r="W9" s="84" cm="1">
        <f t="array" aca="1" ref="W9" ca="1">IF($R9="Y",VLOOKUP($Q9,INDIRECT($Q$3),W$6,0)*INDIRECT($P$2),VLOOKUP($Q9,INDIRECT($Q$3),W$6,0))</f>
        <v>30.220200000000002</v>
      </c>
      <c r="X9" s="84" cm="1">
        <f t="array" aca="1" ref="X9" ca="1">IF($R9="Y",VLOOKUP($Q9,INDIRECT($Q$3),X$6,0)*INDIRECT($P$2),VLOOKUP($Q9,INDIRECT($Q$3),X$6,0))</f>
        <v>31.703400000000002</v>
      </c>
      <c r="Y9" s="84" cm="1">
        <f t="array" aca="1" ref="Y9" ca="1">IF($R9="Y",VLOOKUP($Q9,INDIRECT($Q$3),Y$6,0)*INDIRECT($P$2),VLOOKUP($Q9,INDIRECT($Q$3),Y$6,0))</f>
        <v>33.258699999999997</v>
      </c>
      <c r="Z9" s="84" cm="1">
        <f t="array" aca="1" ref="Z9" ca="1">IF($R9="Y",VLOOKUP($Q9,INDIRECT($Q$3),Z$6,0)*INDIRECT($P$2),VLOOKUP($Q9,INDIRECT($Q$3),Z$6,0))</f>
        <v>34.257799999999996</v>
      </c>
      <c r="AB9" s="62" t="str">
        <f t="shared" si="4"/>
        <v>04185C</v>
      </c>
      <c r="AC9" s="63" t="str">
        <f t="shared" si="5"/>
        <v>Y</v>
      </c>
      <c r="AD9" s="67" t="str">
        <f t="shared" si="6"/>
        <v>05</v>
      </c>
      <c r="AE9" s="85">
        <f t="shared" ca="1" si="7"/>
        <v>26.17</v>
      </c>
      <c r="AF9" s="85">
        <f t="shared" ca="1" si="7"/>
        <v>27.46</v>
      </c>
      <c r="AG9" s="85">
        <f t="shared" ca="1" si="7"/>
        <v>28.8</v>
      </c>
      <c r="AH9" s="85">
        <f t="shared" ca="1" si="7"/>
        <v>30.22</v>
      </c>
      <c r="AI9" s="85">
        <f t="shared" ca="1" si="7"/>
        <v>31.7</v>
      </c>
      <c r="AJ9" s="85">
        <f t="shared" ca="1" si="7"/>
        <v>33.26</v>
      </c>
      <c r="AK9" s="85">
        <f t="shared" ca="1" si="7"/>
        <v>34.26</v>
      </c>
    </row>
    <row r="10" spans="1:37" x14ac:dyDescent="0.3">
      <c r="H10" s="60"/>
      <c r="I10" s="60"/>
      <c r="J10" s="60"/>
      <c r="K10" s="60"/>
      <c r="L10" s="60"/>
      <c r="M10" s="60"/>
      <c r="N10" s="60"/>
    </row>
    <row r="11" spans="1:37" x14ac:dyDescent="0.3">
      <c r="A11" s="20" t="s">
        <v>23</v>
      </c>
      <c r="B11" s="20"/>
      <c r="H11" s="61"/>
      <c r="I11" s="61"/>
      <c r="J11" s="61"/>
      <c r="K11" s="61"/>
      <c r="L11" s="61"/>
      <c r="M11" s="61"/>
      <c r="N11" s="61"/>
    </row>
    <row r="12" spans="1:37" x14ac:dyDescent="0.3">
      <c r="A12" s="31" t="str">
        <f ca="1">"When an employee is assigned as a lead worker, the employee shall receive an additional "&amp;TEXT(T12,"$#,###.00")&amp;" oer hour for all hours worked."</f>
        <v>When an employee is assigned as a lead worker, the employee shall receive an additional $2.97 oer hour for all hours worked.</v>
      </c>
      <c r="B12" s="31"/>
      <c r="C12" s="32"/>
      <c r="D12" s="33"/>
      <c r="E12" s="34"/>
      <c r="F12" s="33"/>
      <c r="G12" s="33"/>
      <c r="H12" s="33"/>
      <c r="I12" s="33"/>
      <c r="J12" s="33"/>
      <c r="K12" s="33"/>
      <c r="Q12" s="69" t="s">
        <v>102</v>
      </c>
      <c r="R12" s="71" t="s">
        <v>109</v>
      </c>
      <c r="T12" s="84" cm="1">
        <f t="array" aca="1" ref="T12" ca="1">IF($R12="Y",VLOOKUP($Q12,INDIRECT($Q$3),T$6,0)*INDIRECT($P$2),VLOOKUP($Q12,INDIRECT($Q$3),T$6,0))</f>
        <v>2.9707060367212801</v>
      </c>
      <c r="AB12" s="62" t="str">
        <f>Q12</f>
        <v>CVTLDS</v>
      </c>
      <c r="AC12" s="63" t="str">
        <f>R12</f>
        <v>Y</v>
      </c>
      <c r="AE12" s="85">
        <f ca="1">ROUND(T12,2)</f>
        <v>2.97</v>
      </c>
    </row>
    <row r="13" spans="1:37" x14ac:dyDescent="0.3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  <c r="T13" s="84"/>
    </row>
    <row r="14" spans="1:37" x14ac:dyDescent="0.3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  <c r="T14" s="84"/>
    </row>
    <row r="15" spans="1:37" x14ac:dyDescent="0.3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  <c r="T15" s="84"/>
    </row>
    <row r="16" spans="1:37" x14ac:dyDescent="0.3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  <c r="T16" s="84"/>
    </row>
    <row r="17" spans="1:31" x14ac:dyDescent="0.3">
      <c r="A17" s="86">
        <f ca="1">T17</f>
        <v>0.70096822696186001</v>
      </c>
      <c r="B17" s="25" t="s">
        <v>32</v>
      </c>
      <c r="I17" s="59"/>
      <c r="J17" s="38"/>
      <c r="K17" s="33"/>
      <c r="Q17" s="69" t="s">
        <v>110</v>
      </c>
      <c r="R17" s="71" t="s">
        <v>109</v>
      </c>
      <c r="T17" s="84" cm="1">
        <f t="array" aca="1" ref="T17" ca="1">IF($R17="Y",VLOOKUP($Q17,INDIRECT($Q$3),T$6,0)*INDIRECT($P$2),VLOOKUP($Q17,INDIRECT($Q$3),T$6,0))</f>
        <v>0.70096822696186001</v>
      </c>
      <c r="AB17" s="62" t="str">
        <f>Q17</f>
        <v>10th</v>
      </c>
      <c r="AC17" s="63" t="str">
        <f t="shared" ref="AC17:AC20" si="8">R17</f>
        <v>Y</v>
      </c>
      <c r="AE17" s="85">
        <f t="shared" ref="AE17:AE20" ca="1" si="9">ROUND(T17,2)</f>
        <v>0.7</v>
      </c>
    </row>
    <row r="18" spans="1:31" x14ac:dyDescent="0.3">
      <c r="A18" s="86">
        <f t="shared" ref="A18:A20" ca="1" si="10">T18</f>
        <v>0.96601763331787971</v>
      </c>
      <c r="B18" s="25" t="s">
        <v>33</v>
      </c>
      <c r="I18" s="59"/>
      <c r="J18" s="38"/>
      <c r="K18" s="33"/>
      <c r="Q18" s="69" t="s">
        <v>111</v>
      </c>
      <c r="R18" s="71" t="s">
        <v>109</v>
      </c>
      <c r="T18" s="84" cm="1">
        <f t="array" aca="1" ref="T18" ca="1">IF($R18="Y",VLOOKUP($Q18,INDIRECT($Q$3),T$6,0)*INDIRECT($P$2),VLOOKUP($Q18,INDIRECT($Q$3),T$6,0))</f>
        <v>0.96601763331787971</v>
      </c>
      <c r="AB18" s="62" t="str">
        <f t="shared" ref="AB18:AB20" si="11">Q18</f>
        <v>15th</v>
      </c>
      <c r="AC18" s="63" t="str">
        <f t="shared" si="8"/>
        <v>Y</v>
      </c>
      <c r="AE18" s="85">
        <f t="shared" ca="1" si="9"/>
        <v>0.97</v>
      </c>
    </row>
    <row r="19" spans="1:31" x14ac:dyDescent="0.3">
      <c r="A19" s="86">
        <f t="shared" ca="1" si="10"/>
        <v>1.0723064815520198</v>
      </c>
      <c r="B19" s="25" t="s">
        <v>34</v>
      </c>
      <c r="I19" s="59"/>
      <c r="J19" s="38"/>
      <c r="K19" s="33"/>
      <c r="Q19" s="69" t="s">
        <v>112</v>
      </c>
      <c r="R19" s="71" t="s">
        <v>109</v>
      </c>
      <c r="T19" s="84" cm="1">
        <f t="array" aca="1" ref="T19" ca="1">IF($R19="Y",VLOOKUP($Q19,INDIRECT($Q$3),T$6,0)*INDIRECT($P$2),VLOOKUP($Q19,INDIRECT($Q$3),T$6,0))</f>
        <v>1.0723064815520198</v>
      </c>
      <c r="AB19" s="62" t="str">
        <f t="shared" si="11"/>
        <v>20th</v>
      </c>
      <c r="AC19" s="63" t="str">
        <f t="shared" si="8"/>
        <v>Y</v>
      </c>
      <c r="AE19" s="85">
        <f t="shared" ca="1" si="9"/>
        <v>1.07</v>
      </c>
    </row>
    <row r="20" spans="1:31" x14ac:dyDescent="0.3">
      <c r="A20" s="86">
        <f t="shared" ca="1" si="10"/>
        <v>1.2754661788096797</v>
      </c>
      <c r="B20" s="25" t="s">
        <v>35</v>
      </c>
      <c r="I20" s="59"/>
      <c r="J20" s="38"/>
      <c r="K20" s="33"/>
      <c r="Q20" s="69" t="s">
        <v>113</v>
      </c>
      <c r="R20" s="71" t="s">
        <v>109</v>
      </c>
      <c r="T20" s="84" cm="1">
        <f t="array" aca="1" ref="T20" ca="1">IF($R20="Y",VLOOKUP($Q20,INDIRECT($Q$3),T$6,0)*INDIRECT($P$2),VLOOKUP($Q20,INDIRECT($Q$3),T$6,0))</f>
        <v>1.2754661788096797</v>
      </c>
      <c r="AB20" s="62" t="str">
        <f t="shared" si="11"/>
        <v>25th</v>
      </c>
      <c r="AC20" s="63" t="str">
        <f t="shared" si="8"/>
        <v>Y</v>
      </c>
      <c r="AE20" s="85">
        <f t="shared" ca="1" si="9"/>
        <v>1.28</v>
      </c>
    </row>
    <row r="21" spans="1:31" x14ac:dyDescent="0.3">
      <c r="A21" s="37"/>
      <c r="B21" s="37"/>
      <c r="C21" s="25"/>
      <c r="J21" s="38"/>
      <c r="K21" s="33"/>
      <c r="T21" s="84"/>
    </row>
    <row r="22" spans="1:31" x14ac:dyDescent="0.3">
      <c r="A22" s="20" t="s">
        <v>39</v>
      </c>
      <c r="B22" s="20"/>
      <c r="T22" s="84"/>
    </row>
    <row r="23" spans="1:31" x14ac:dyDescent="0.3">
      <c r="A23" s="31" t="s">
        <v>38</v>
      </c>
      <c r="B23" s="31"/>
      <c r="T23" s="84"/>
    </row>
    <row r="24" spans="1:31" x14ac:dyDescent="0.3">
      <c r="A24" s="31" t="str">
        <f ca="1">"and 2:00 a.m. shall be paid an additional "&amp;TEXT(T24,"$#.00")&amp;" per hour for all hours worked on such shift."</f>
        <v>and 2:00 a.m. shall be paid an additional $1.83 per hour for all hours worked on such shift.</v>
      </c>
      <c r="B24" s="31"/>
      <c r="Q24" s="77" t="s">
        <v>100</v>
      </c>
      <c r="R24" s="71" t="s">
        <v>109</v>
      </c>
      <c r="T24" s="84" cm="1">
        <f t="array" aca="1" ref="T24" ca="1">IF($R24="Y",VLOOKUP($Q24,INDIRECT($Q$3),T$6,0)*INDIRECT($P$2),VLOOKUP($Q24,INDIRECT($Q$3),T$6,0))</f>
        <v>1.8297827037775998</v>
      </c>
      <c r="AB24" s="62" t="str">
        <f t="shared" ref="AB24:AC25" si="12">Q24</f>
        <v>CVTAM1</v>
      </c>
      <c r="AC24" s="63" t="str">
        <f t="shared" si="12"/>
        <v>Y</v>
      </c>
      <c r="AE24" s="85">
        <f t="shared" ref="AE24:AE25" ca="1" si="13">ROUND(T24,2)</f>
        <v>1.83</v>
      </c>
    </row>
    <row r="25" spans="1:31" x14ac:dyDescent="0.3">
      <c r="Q25" s="77" t="s">
        <v>98</v>
      </c>
      <c r="R25" s="71" t="s">
        <v>109</v>
      </c>
      <c r="T25" s="84" cm="1">
        <f t="array" aca="1" ref="T25" ca="1">IF($R25="Y",VLOOKUP($Q25,INDIRECT($Q$3),T$6,0)*INDIRECT($P$2),VLOOKUP($Q25,INDIRECT($Q$3),T$6,0))</f>
        <v>1.8297827037775998</v>
      </c>
      <c r="AB25" s="62" t="str">
        <f t="shared" si="12"/>
        <v>CVTEVE</v>
      </c>
      <c r="AC25" s="63" t="str">
        <f t="shared" si="12"/>
        <v>Y</v>
      </c>
      <c r="AE25" s="85">
        <f t="shared" ca="1" si="13"/>
        <v>1.83</v>
      </c>
    </row>
  </sheetData>
  <sheetProtection sheet="1" objects="1" scenarios="1"/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DC2F-5381-4566-8576-7A73C66D42B2}">
  <dimension ref="A1:C10"/>
  <sheetViews>
    <sheetView workbookViewId="0">
      <selection activeCell="A11" sqref="A11"/>
    </sheetView>
  </sheetViews>
  <sheetFormatPr defaultRowHeight="13.2" x14ac:dyDescent="0.25"/>
  <cols>
    <col min="1" max="1" width="11.88671875" bestFit="1" customWidth="1"/>
    <col min="2" max="2" width="10.109375" bestFit="1" customWidth="1"/>
    <col min="3" max="3" width="134.88671875" bestFit="1" customWidth="1"/>
  </cols>
  <sheetData>
    <row r="1" spans="1:3" x14ac:dyDescent="0.25">
      <c r="A1" t="s">
        <v>89</v>
      </c>
      <c r="B1" t="s">
        <v>90</v>
      </c>
      <c r="C1" t="s">
        <v>82</v>
      </c>
    </row>
    <row r="2" spans="1:3" x14ac:dyDescent="0.25">
      <c r="A2" t="s">
        <v>89</v>
      </c>
      <c r="B2" t="s">
        <v>90</v>
      </c>
      <c r="C2" t="s">
        <v>83</v>
      </c>
    </row>
    <row r="3" spans="1:3" x14ac:dyDescent="0.25">
      <c r="C3" t="s">
        <v>84</v>
      </c>
    </row>
    <row r="4" spans="1:3" x14ac:dyDescent="0.25">
      <c r="C4" t="s">
        <v>85</v>
      </c>
    </row>
    <row r="5" spans="1:3" x14ac:dyDescent="0.25">
      <c r="C5" t="s">
        <v>86</v>
      </c>
    </row>
    <row r="6" spans="1:3" x14ac:dyDescent="0.25">
      <c r="C6" t="s">
        <v>87</v>
      </c>
    </row>
    <row r="7" spans="1:3" x14ac:dyDescent="0.25">
      <c r="C7" t="s">
        <v>88</v>
      </c>
    </row>
    <row r="8" spans="1:3" x14ac:dyDescent="0.25">
      <c r="A8" t="s">
        <v>91</v>
      </c>
      <c r="B8" s="51">
        <v>43916</v>
      </c>
      <c r="C8" t="s">
        <v>92</v>
      </c>
    </row>
    <row r="9" spans="1:3" x14ac:dyDescent="0.25">
      <c r="A9" t="s">
        <v>91</v>
      </c>
      <c r="B9" s="51">
        <v>43917</v>
      </c>
      <c r="C9" t="s">
        <v>93</v>
      </c>
    </row>
    <row r="10" spans="1:3" x14ac:dyDescent="0.25">
      <c r="A10" t="s">
        <v>139</v>
      </c>
      <c r="B10" s="51">
        <v>46006</v>
      </c>
      <c r="C10" t="s">
        <v>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workbookViewId="0">
      <selection activeCell="B24" sqref="B24"/>
    </sheetView>
  </sheetViews>
  <sheetFormatPr defaultColWidth="10.33203125" defaultRowHeight="14.4" x14ac:dyDescent="0.3"/>
  <cols>
    <col min="1" max="1" width="35.109375" style="42" customWidth="1"/>
    <col min="2" max="2" width="10.109375" style="42" customWidth="1"/>
    <col min="3" max="3" width="29.33203125" style="42" bestFit="1" customWidth="1"/>
    <col min="4" max="4" width="8.6640625" style="42" customWidth="1"/>
    <col min="5" max="5" width="10.33203125" style="42" customWidth="1"/>
    <col min="6" max="6" width="5.33203125" style="44" customWidth="1"/>
    <col min="7" max="7" width="9.6640625" style="43" customWidth="1"/>
    <col min="8" max="8" width="10.44140625" style="47" customWidth="1"/>
    <col min="9" max="9" width="11.5546875" style="46" customWidth="1"/>
    <col min="10" max="10" width="8.44140625" style="45" customWidth="1"/>
    <col min="11" max="11" width="12.5546875" style="44" customWidth="1"/>
    <col min="12" max="12" width="6.6640625" style="42" customWidth="1"/>
    <col min="13" max="13" width="10.6640625" style="44" customWidth="1"/>
    <col min="14" max="14" width="12.109375" style="42" customWidth="1"/>
    <col min="15" max="15" width="10" style="43" customWidth="1"/>
    <col min="16" max="16" width="10.5546875" style="42" customWidth="1"/>
    <col min="17" max="16384" width="10.33203125" style="42"/>
  </cols>
  <sheetData>
    <row r="1" spans="1:16" ht="15.6" thickTop="1" thickBot="1" x14ac:dyDescent="0.35">
      <c r="A1" s="48" t="s">
        <v>71</v>
      </c>
      <c r="B1" s="42" t="s">
        <v>70</v>
      </c>
    </row>
    <row r="2" spans="1:16" ht="15.6" thickTop="1" thickBot="1" x14ac:dyDescent="0.35">
      <c r="A2" s="48" t="s">
        <v>69</v>
      </c>
      <c r="B2" s="48" t="s">
        <v>3</v>
      </c>
      <c r="C2" s="48" t="s">
        <v>68</v>
      </c>
      <c r="D2" s="48" t="s">
        <v>67</v>
      </c>
      <c r="E2" s="48" t="s">
        <v>66</v>
      </c>
      <c r="F2" s="48" t="s">
        <v>65</v>
      </c>
      <c r="G2" s="48" t="s">
        <v>64</v>
      </c>
      <c r="H2" s="48" t="s">
        <v>63</v>
      </c>
      <c r="I2" s="48" t="s">
        <v>62</v>
      </c>
      <c r="J2" s="48" t="s">
        <v>61</v>
      </c>
      <c r="K2" s="48" t="s">
        <v>60</v>
      </c>
      <c r="L2" s="48" t="s">
        <v>59</v>
      </c>
      <c r="M2" s="48" t="s">
        <v>58</v>
      </c>
      <c r="N2" s="48" t="s">
        <v>57</v>
      </c>
      <c r="O2" s="48" t="s">
        <v>56</v>
      </c>
      <c r="P2" s="48" t="s">
        <v>55</v>
      </c>
    </row>
    <row r="3" spans="1:16" ht="15" thickTop="1" x14ac:dyDescent="0.3">
      <c r="A3" s="42" t="s">
        <v>51</v>
      </c>
      <c r="B3" s="42" t="s">
        <v>16</v>
      </c>
      <c r="C3" s="42" t="s">
        <v>54</v>
      </c>
      <c r="D3" s="42" t="s">
        <v>48</v>
      </c>
      <c r="E3" s="42" t="s">
        <v>53</v>
      </c>
      <c r="F3" s="44">
        <v>1</v>
      </c>
      <c r="G3" s="43">
        <v>17.279</v>
      </c>
      <c r="H3" s="47">
        <v>35940.32</v>
      </c>
      <c r="I3" s="46">
        <v>40</v>
      </c>
      <c r="J3" s="45">
        <v>42743</v>
      </c>
      <c r="K3" s="44">
        <v>3</v>
      </c>
      <c r="L3" s="42" t="s">
        <v>53</v>
      </c>
      <c r="M3" s="44">
        <v>153</v>
      </c>
      <c r="N3" s="42" t="s">
        <v>48</v>
      </c>
      <c r="O3" s="43">
        <v>22.053999999999998</v>
      </c>
    </row>
    <row r="4" spans="1:16" x14ac:dyDescent="0.3">
      <c r="A4" s="42" t="s">
        <v>51</v>
      </c>
      <c r="B4" s="42" t="s">
        <v>16</v>
      </c>
      <c r="C4" s="42" t="s">
        <v>54</v>
      </c>
      <c r="D4" s="42" t="s">
        <v>48</v>
      </c>
      <c r="E4" s="42" t="s">
        <v>53</v>
      </c>
      <c r="F4" s="44">
        <v>2</v>
      </c>
      <c r="G4" s="43">
        <v>18.143999999999998</v>
      </c>
      <c r="H4" s="47">
        <v>37739.519999999997</v>
      </c>
      <c r="I4" s="46">
        <v>40</v>
      </c>
      <c r="J4" s="45">
        <v>42743</v>
      </c>
      <c r="K4" s="44">
        <v>3</v>
      </c>
      <c r="L4" s="42" t="s">
        <v>53</v>
      </c>
      <c r="M4" s="44">
        <v>153</v>
      </c>
      <c r="N4" s="42" t="s">
        <v>48</v>
      </c>
      <c r="O4" s="43">
        <v>22.053999999999998</v>
      </c>
    </row>
    <row r="5" spans="1:16" x14ac:dyDescent="0.3">
      <c r="A5" s="42" t="s">
        <v>51</v>
      </c>
      <c r="B5" s="42" t="s">
        <v>16</v>
      </c>
      <c r="C5" s="42" t="s">
        <v>54</v>
      </c>
      <c r="D5" s="42" t="s">
        <v>48</v>
      </c>
      <c r="E5" s="42" t="s">
        <v>53</v>
      </c>
      <c r="F5" s="44">
        <v>3</v>
      </c>
      <c r="G5" s="43">
        <v>19.050999999999998</v>
      </c>
      <c r="H5" s="47">
        <v>39626.080000000002</v>
      </c>
      <c r="I5" s="46">
        <v>40</v>
      </c>
      <c r="J5" s="45">
        <v>42743</v>
      </c>
      <c r="K5" s="44">
        <v>3</v>
      </c>
      <c r="L5" s="42" t="s">
        <v>53</v>
      </c>
      <c r="M5" s="44">
        <v>153</v>
      </c>
      <c r="N5" s="42" t="s">
        <v>48</v>
      </c>
      <c r="O5" s="43">
        <v>22.053999999999998</v>
      </c>
    </row>
    <row r="6" spans="1:16" x14ac:dyDescent="0.3">
      <c r="A6" s="42" t="s">
        <v>51</v>
      </c>
      <c r="B6" s="42" t="s">
        <v>16</v>
      </c>
      <c r="C6" s="42" t="s">
        <v>54</v>
      </c>
      <c r="D6" s="42" t="s">
        <v>48</v>
      </c>
      <c r="E6" s="42" t="s">
        <v>53</v>
      </c>
      <c r="F6" s="44">
        <v>4</v>
      </c>
      <c r="G6" s="43">
        <v>20.003</v>
      </c>
      <c r="H6" s="47">
        <v>41606.239999999998</v>
      </c>
      <c r="I6" s="46">
        <v>40</v>
      </c>
      <c r="J6" s="45">
        <v>42743</v>
      </c>
      <c r="K6" s="44">
        <v>3</v>
      </c>
      <c r="L6" s="42" t="s">
        <v>53</v>
      </c>
      <c r="M6" s="44">
        <v>153</v>
      </c>
      <c r="N6" s="42" t="s">
        <v>48</v>
      </c>
      <c r="O6" s="43">
        <v>22.053999999999998</v>
      </c>
    </row>
    <row r="7" spans="1:16" x14ac:dyDescent="0.3">
      <c r="A7" s="42" t="s">
        <v>51</v>
      </c>
      <c r="B7" s="42" t="s">
        <v>16</v>
      </c>
      <c r="C7" s="42" t="s">
        <v>54</v>
      </c>
      <c r="D7" s="42" t="s">
        <v>48</v>
      </c>
      <c r="E7" s="42" t="s">
        <v>53</v>
      </c>
      <c r="F7" s="44">
        <v>5</v>
      </c>
      <c r="G7" s="43">
        <v>21.004000000000001</v>
      </c>
      <c r="H7" s="47">
        <v>43688.32</v>
      </c>
      <c r="I7" s="46">
        <v>40</v>
      </c>
      <c r="J7" s="45">
        <v>42743</v>
      </c>
      <c r="K7" s="44">
        <v>3</v>
      </c>
      <c r="L7" s="42" t="s">
        <v>53</v>
      </c>
      <c r="M7" s="44">
        <v>153</v>
      </c>
      <c r="N7" s="42" t="s">
        <v>48</v>
      </c>
      <c r="O7" s="43">
        <v>22.053999999999998</v>
      </c>
    </row>
    <row r="8" spans="1:16" x14ac:dyDescent="0.3">
      <c r="A8" s="42" t="s">
        <v>51</v>
      </c>
      <c r="B8" s="42" t="s">
        <v>16</v>
      </c>
      <c r="C8" s="42" t="s">
        <v>54</v>
      </c>
      <c r="D8" s="42" t="s">
        <v>48</v>
      </c>
      <c r="E8" s="42" t="s">
        <v>53</v>
      </c>
      <c r="F8" s="44">
        <v>6</v>
      </c>
      <c r="G8" s="43">
        <v>22.053999999999998</v>
      </c>
      <c r="H8" s="47">
        <v>45872.32</v>
      </c>
      <c r="I8" s="46">
        <v>40</v>
      </c>
      <c r="J8" s="45">
        <v>42743</v>
      </c>
      <c r="K8" s="44">
        <v>3</v>
      </c>
      <c r="L8" s="42" t="s">
        <v>53</v>
      </c>
      <c r="M8" s="44">
        <v>153</v>
      </c>
      <c r="N8" s="42" t="s">
        <v>48</v>
      </c>
      <c r="O8" s="43">
        <v>22.053999999999998</v>
      </c>
    </row>
    <row r="9" spans="1:16" x14ac:dyDescent="0.3">
      <c r="A9" s="42" t="s">
        <v>51</v>
      </c>
      <c r="B9" s="42" t="s">
        <v>16</v>
      </c>
      <c r="C9" s="42" t="s">
        <v>54</v>
      </c>
      <c r="D9" s="42" t="s">
        <v>48</v>
      </c>
      <c r="E9" s="42" t="s">
        <v>53</v>
      </c>
      <c r="F9" s="44">
        <v>11</v>
      </c>
      <c r="G9" s="43">
        <v>16.416</v>
      </c>
      <c r="H9" s="47">
        <v>34145.279999999999</v>
      </c>
      <c r="I9" s="46">
        <v>40</v>
      </c>
      <c r="J9" s="45">
        <v>42743</v>
      </c>
      <c r="K9" s="44">
        <v>3</v>
      </c>
      <c r="L9" s="42" t="s">
        <v>53</v>
      </c>
      <c r="M9" s="44">
        <v>153</v>
      </c>
      <c r="N9" s="42" t="s">
        <v>48</v>
      </c>
      <c r="O9" s="43">
        <v>22.053999999999998</v>
      </c>
    </row>
    <row r="10" spans="1:16" x14ac:dyDescent="0.3">
      <c r="A10" s="42" t="s">
        <v>51</v>
      </c>
      <c r="B10" s="42" t="s">
        <v>19</v>
      </c>
      <c r="C10" s="42" t="s">
        <v>52</v>
      </c>
      <c r="D10" s="42" t="s">
        <v>48</v>
      </c>
      <c r="E10" s="42" t="s">
        <v>49</v>
      </c>
      <c r="F10" s="44">
        <v>1</v>
      </c>
      <c r="G10" s="43">
        <v>17.623000000000001</v>
      </c>
      <c r="H10" s="47">
        <v>36655.839999999997</v>
      </c>
      <c r="I10" s="46">
        <v>40</v>
      </c>
      <c r="J10" s="45">
        <v>42743</v>
      </c>
      <c r="K10" s="44">
        <v>3</v>
      </c>
      <c r="L10" s="42" t="s">
        <v>49</v>
      </c>
      <c r="M10" s="44">
        <v>168</v>
      </c>
      <c r="N10" s="42" t="s">
        <v>48</v>
      </c>
      <c r="O10" s="43">
        <v>22.398</v>
      </c>
    </row>
    <row r="11" spans="1:16" x14ac:dyDescent="0.3">
      <c r="A11" s="42" t="s">
        <v>51</v>
      </c>
      <c r="B11" s="42" t="s">
        <v>19</v>
      </c>
      <c r="C11" s="42" t="s">
        <v>52</v>
      </c>
      <c r="D11" s="42" t="s">
        <v>48</v>
      </c>
      <c r="E11" s="42" t="s">
        <v>49</v>
      </c>
      <c r="F11" s="44">
        <v>2</v>
      </c>
      <c r="G11" s="43">
        <v>18.486999999999998</v>
      </c>
      <c r="H11" s="47">
        <v>38452.959999999999</v>
      </c>
      <c r="I11" s="46">
        <v>40</v>
      </c>
      <c r="J11" s="45">
        <v>42743</v>
      </c>
      <c r="K11" s="44">
        <v>3</v>
      </c>
      <c r="L11" s="42" t="s">
        <v>49</v>
      </c>
      <c r="M11" s="44">
        <v>168</v>
      </c>
      <c r="N11" s="42" t="s">
        <v>48</v>
      </c>
      <c r="O11" s="43">
        <v>22.398</v>
      </c>
    </row>
    <row r="12" spans="1:16" x14ac:dyDescent="0.3">
      <c r="A12" s="42" t="s">
        <v>51</v>
      </c>
      <c r="B12" s="42" t="s">
        <v>19</v>
      </c>
      <c r="C12" s="42" t="s">
        <v>52</v>
      </c>
      <c r="D12" s="42" t="s">
        <v>48</v>
      </c>
      <c r="E12" s="42" t="s">
        <v>49</v>
      </c>
      <c r="F12" s="44">
        <v>3</v>
      </c>
      <c r="G12" s="43">
        <v>19.395</v>
      </c>
      <c r="H12" s="47">
        <v>40341.599999999999</v>
      </c>
      <c r="I12" s="46">
        <v>40</v>
      </c>
      <c r="J12" s="45">
        <v>42743</v>
      </c>
      <c r="K12" s="44">
        <v>3</v>
      </c>
      <c r="L12" s="42" t="s">
        <v>49</v>
      </c>
      <c r="M12" s="44">
        <v>168</v>
      </c>
      <c r="N12" s="42" t="s">
        <v>48</v>
      </c>
      <c r="O12" s="43">
        <v>22.398</v>
      </c>
    </row>
    <row r="13" spans="1:16" x14ac:dyDescent="0.3">
      <c r="A13" s="42" t="s">
        <v>51</v>
      </c>
      <c r="B13" s="42" t="s">
        <v>19</v>
      </c>
      <c r="C13" s="42" t="s">
        <v>52</v>
      </c>
      <c r="D13" s="42" t="s">
        <v>48</v>
      </c>
      <c r="E13" s="42" t="s">
        <v>49</v>
      </c>
      <c r="F13" s="44">
        <v>4</v>
      </c>
      <c r="G13" s="43">
        <v>20.347000000000001</v>
      </c>
      <c r="H13" s="47">
        <v>42321.760000000002</v>
      </c>
      <c r="I13" s="46">
        <v>40</v>
      </c>
      <c r="J13" s="45">
        <v>42743</v>
      </c>
      <c r="K13" s="44">
        <v>3</v>
      </c>
      <c r="L13" s="42" t="s">
        <v>49</v>
      </c>
      <c r="M13" s="44">
        <v>168</v>
      </c>
      <c r="N13" s="42" t="s">
        <v>48</v>
      </c>
      <c r="O13" s="43">
        <v>22.398</v>
      </c>
    </row>
    <row r="14" spans="1:16" x14ac:dyDescent="0.3">
      <c r="A14" s="42" t="s">
        <v>51</v>
      </c>
      <c r="B14" s="42" t="s">
        <v>19</v>
      </c>
      <c r="C14" s="42" t="s">
        <v>52</v>
      </c>
      <c r="D14" s="42" t="s">
        <v>48</v>
      </c>
      <c r="E14" s="42" t="s">
        <v>49</v>
      </c>
      <c r="F14" s="44">
        <v>5</v>
      </c>
      <c r="G14" s="43">
        <v>21.347000000000001</v>
      </c>
      <c r="H14" s="47">
        <v>44401.760000000002</v>
      </c>
      <c r="I14" s="46">
        <v>40</v>
      </c>
      <c r="J14" s="45">
        <v>42743</v>
      </c>
      <c r="K14" s="44">
        <v>3</v>
      </c>
      <c r="L14" s="42" t="s">
        <v>49</v>
      </c>
      <c r="M14" s="44">
        <v>168</v>
      </c>
      <c r="N14" s="42" t="s">
        <v>48</v>
      </c>
      <c r="O14" s="43">
        <v>22.398</v>
      </c>
    </row>
    <row r="15" spans="1:16" x14ac:dyDescent="0.3">
      <c r="A15" s="42" t="s">
        <v>51</v>
      </c>
      <c r="B15" s="42" t="s">
        <v>19</v>
      </c>
      <c r="C15" s="42" t="s">
        <v>52</v>
      </c>
      <c r="D15" s="42" t="s">
        <v>48</v>
      </c>
      <c r="E15" s="42" t="s">
        <v>49</v>
      </c>
      <c r="F15" s="44">
        <v>6</v>
      </c>
      <c r="G15" s="43">
        <v>22.398</v>
      </c>
      <c r="H15" s="47">
        <v>46587.839999999997</v>
      </c>
      <c r="I15" s="46">
        <v>40</v>
      </c>
      <c r="J15" s="45">
        <v>42743</v>
      </c>
      <c r="K15" s="44">
        <v>3</v>
      </c>
      <c r="L15" s="42" t="s">
        <v>49</v>
      </c>
      <c r="M15" s="44">
        <v>168</v>
      </c>
      <c r="N15" s="42" t="s">
        <v>48</v>
      </c>
      <c r="O15" s="43">
        <v>22.398</v>
      </c>
    </row>
    <row r="16" spans="1:16" x14ac:dyDescent="0.3">
      <c r="A16" s="42" t="s">
        <v>51</v>
      </c>
      <c r="B16" s="42" t="s">
        <v>19</v>
      </c>
      <c r="C16" s="42" t="s">
        <v>52</v>
      </c>
      <c r="D16" s="42" t="s">
        <v>48</v>
      </c>
      <c r="E16" s="42" t="s">
        <v>49</v>
      </c>
      <c r="F16" s="44">
        <v>11</v>
      </c>
      <c r="G16" s="43">
        <v>16.759</v>
      </c>
      <c r="H16" s="47">
        <v>34858.720000000001</v>
      </c>
      <c r="I16" s="46">
        <v>40</v>
      </c>
      <c r="J16" s="45">
        <v>42743</v>
      </c>
      <c r="K16" s="44">
        <v>3</v>
      </c>
      <c r="L16" s="42" t="s">
        <v>49</v>
      </c>
      <c r="M16" s="44">
        <v>168</v>
      </c>
      <c r="N16" s="42" t="s">
        <v>48</v>
      </c>
      <c r="O16" s="43">
        <v>22.398</v>
      </c>
      <c r="P16" s="42" t="s">
        <v>9</v>
      </c>
    </row>
    <row r="17" spans="1:16" x14ac:dyDescent="0.3">
      <c r="A17" s="42" t="s">
        <v>51</v>
      </c>
      <c r="B17" s="42" t="s">
        <v>21</v>
      </c>
      <c r="C17" s="42" t="s">
        <v>50</v>
      </c>
      <c r="D17" s="42" t="s">
        <v>48</v>
      </c>
      <c r="E17" s="42" t="s">
        <v>49</v>
      </c>
      <c r="F17" s="44">
        <v>1</v>
      </c>
      <c r="G17" s="43">
        <v>17.623000000000001</v>
      </c>
      <c r="H17" s="47">
        <v>36655.839999999997</v>
      </c>
      <c r="I17" s="46">
        <v>40</v>
      </c>
      <c r="J17" s="45">
        <v>42743</v>
      </c>
      <c r="K17" s="44">
        <v>3</v>
      </c>
      <c r="L17" s="42" t="s">
        <v>49</v>
      </c>
      <c r="M17" s="44">
        <v>168</v>
      </c>
      <c r="N17" s="42" t="s">
        <v>48</v>
      </c>
      <c r="O17" s="43">
        <v>22.398</v>
      </c>
    </row>
    <row r="18" spans="1:16" x14ac:dyDescent="0.3">
      <c r="A18" s="42" t="s">
        <v>51</v>
      </c>
      <c r="B18" s="42" t="s">
        <v>21</v>
      </c>
      <c r="C18" s="42" t="s">
        <v>50</v>
      </c>
      <c r="D18" s="42" t="s">
        <v>48</v>
      </c>
      <c r="E18" s="42" t="s">
        <v>49</v>
      </c>
      <c r="F18" s="44">
        <v>2</v>
      </c>
      <c r="G18" s="43">
        <v>18.486999999999998</v>
      </c>
      <c r="H18" s="47">
        <v>38452.959999999999</v>
      </c>
      <c r="I18" s="46">
        <v>40</v>
      </c>
      <c r="J18" s="45">
        <v>42743</v>
      </c>
      <c r="K18" s="44">
        <v>3</v>
      </c>
      <c r="L18" s="42" t="s">
        <v>49</v>
      </c>
      <c r="M18" s="44">
        <v>168</v>
      </c>
      <c r="N18" s="42" t="s">
        <v>48</v>
      </c>
      <c r="O18" s="43">
        <v>22.398</v>
      </c>
    </row>
    <row r="19" spans="1:16" x14ac:dyDescent="0.3">
      <c r="A19" s="42" t="s">
        <v>51</v>
      </c>
      <c r="B19" s="42" t="s">
        <v>21</v>
      </c>
      <c r="C19" s="42" t="s">
        <v>50</v>
      </c>
      <c r="D19" s="42" t="s">
        <v>48</v>
      </c>
      <c r="E19" s="42" t="s">
        <v>49</v>
      </c>
      <c r="F19" s="44">
        <v>3</v>
      </c>
      <c r="G19" s="43">
        <v>19.395</v>
      </c>
      <c r="H19" s="47">
        <v>40341.599999999999</v>
      </c>
      <c r="I19" s="46">
        <v>40</v>
      </c>
      <c r="J19" s="45">
        <v>42743</v>
      </c>
      <c r="K19" s="44">
        <v>3</v>
      </c>
      <c r="L19" s="42" t="s">
        <v>49</v>
      </c>
      <c r="M19" s="44">
        <v>168</v>
      </c>
      <c r="N19" s="42" t="s">
        <v>48</v>
      </c>
      <c r="O19" s="43">
        <v>22.398</v>
      </c>
    </row>
    <row r="20" spans="1:16" x14ac:dyDescent="0.3">
      <c r="A20" s="42" t="s">
        <v>51</v>
      </c>
      <c r="B20" s="42" t="s">
        <v>21</v>
      </c>
      <c r="C20" s="42" t="s">
        <v>50</v>
      </c>
      <c r="D20" s="42" t="s">
        <v>48</v>
      </c>
      <c r="E20" s="42" t="s">
        <v>49</v>
      </c>
      <c r="F20" s="44">
        <v>4</v>
      </c>
      <c r="G20" s="43">
        <v>20.347000000000001</v>
      </c>
      <c r="H20" s="47">
        <v>42321.760000000002</v>
      </c>
      <c r="I20" s="46">
        <v>40</v>
      </c>
      <c r="J20" s="45">
        <v>42743</v>
      </c>
      <c r="K20" s="44">
        <v>3</v>
      </c>
      <c r="L20" s="42" t="s">
        <v>49</v>
      </c>
      <c r="M20" s="44">
        <v>168</v>
      </c>
      <c r="N20" s="42" t="s">
        <v>48</v>
      </c>
      <c r="O20" s="43">
        <v>22.398</v>
      </c>
    </row>
    <row r="21" spans="1:16" x14ac:dyDescent="0.3">
      <c r="A21" s="42" t="s">
        <v>51</v>
      </c>
      <c r="B21" s="42" t="s">
        <v>21</v>
      </c>
      <c r="C21" s="42" t="s">
        <v>50</v>
      </c>
      <c r="D21" s="42" t="s">
        <v>48</v>
      </c>
      <c r="E21" s="42" t="s">
        <v>49</v>
      </c>
      <c r="F21" s="44">
        <v>5</v>
      </c>
      <c r="G21" s="43">
        <v>21.347000000000001</v>
      </c>
      <c r="H21" s="47">
        <v>44401.760000000002</v>
      </c>
      <c r="I21" s="46">
        <v>40</v>
      </c>
      <c r="J21" s="45">
        <v>42743</v>
      </c>
      <c r="K21" s="44">
        <v>3</v>
      </c>
      <c r="L21" s="42" t="s">
        <v>49</v>
      </c>
      <c r="M21" s="44">
        <v>168</v>
      </c>
      <c r="N21" s="42" t="s">
        <v>48</v>
      </c>
      <c r="O21" s="43">
        <v>22.398</v>
      </c>
    </row>
    <row r="22" spans="1:16" x14ac:dyDescent="0.3">
      <c r="A22" s="42" t="s">
        <v>51</v>
      </c>
      <c r="B22" s="42" t="s">
        <v>21</v>
      </c>
      <c r="C22" s="42" t="s">
        <v>50</v>
      </c>
      <c r="D22" s="42" t="s">
        <v>48</v>
      </c>
      <c r="E22" s="42" t="s">
        <v>49</v>
      </c>
      <c r="F22" s="44">
        <v>6</v>
      </c>
      <c r="G22" s="43">
        <v>22.398</v>
      </c>
      <c r="H22" s="47">
        <v>46587.839999999997</v>
      </c>
      <c r="I22" s="46">
        <v>40</v>
      </c>
      <c r="J22" s="45">
        <v>42743</v>
      </c>
      <c r="K22" s="44">
        <v>3</v>
      </c>
      <c r="L22" s="42" t="s">
        <v>49</v>
      </c>
      <c r="M22" s="44">
        <v>168</v>
      </c>
      <c r="N22" s="42" t="s">
        <v>48</v>
      </c>
      <c r="O22" s="43">
        <v>22.398</v>
      </c>
    </row>
    <row r="23" spans="1:16" x14ac:dyDescent="0.3">
      <c r="A23" s="42" t="s">
        <v>51</v>
      </c>
      <c r="B23" s="42" t="s">
        <v>21</v>
      </c>
      <c r="C23" s="42" t="s">
        <v>50</v>
      </c>
      <c r="D23" s="42" t="s">
        <v>48</v>
      </c>
      <c r="E23" s="42" t="s">
        <v>49</v>
      </c>
      <c r="F23" s="44">
        <v>11</v>
      </c>
      <c r="G23" s="43">
        <v>16.759</v>
      </c>
      <c r="H23" s="47">
        <v>34858.720000000001</v>
      </c>
      <c r="I23" s="46">
        <v>40</v>
      </c>
      <c r="J23" s="45">
        <v>42743</v>
      </c>
      <c r="K23" s="44">
        <v>3</v>
      </c>
      <c r="L23" s="42" t="s">
        <v>49</v>
      </c>
      <c r="M23" s="44">
        <v>168</v>
      </c>
      <c r="N23" s="42" t="s">
        <v>48</v>
      </c>
      <c r="O23" s="43">
        <v>22.398</v>
      </c>
      <c r="P23" s="42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workbookViewId="0">
      <selection activeCell="H11" sqref="H11"/>
    </sheetView>
  </sheetViews>
  <sheetFormatPr defaultColWidth="9.109375" defaultRowHeight="14.4" x14ac:dyDescent="0.3"/>
  <cols>
    <col min="1" max="2" width="7" style="23" customWidth="1"/>
    <col min="3" max="3" width="32.109375" style="23" customWidth="1"/>
    <col min="4" max="4" width="5.33203125" style="23" customWidth="1"/>
    <col min="5" max="5" width="4.109375" style="23" bestFit="1" customWidth="1"/>
    <col min="6" max="7" width="2.44140625" style="23" bestFit="1" customWidth="1"/>
    <col min="8" max="8" width="7.33203125" style="23" bestFit="1" customWidth="1"/>
    <col min="9" max="9" width="8.44140625" style="23" bestFit="1" customWidth="1"/>
    <col min="10" max="14" width="7" style="23" bestFit="1" customWidth="1"/>
    <col min="15" max="16384" width="9.109375" style="23"/>
  </cols>
  <sheetData>
    <row r="1" spans="1:14" x14ac:dyDescent="0.3">
      <c r="A1" s="22" t="s">
        <v>75</v>
      </c>
      <c r="B1" s="22"/>
    </row>
    <row r="2" spans="1:14" x14ac:dyDescent="0.3">
      <c r="A2" s="22" t="s">
        <v>40</v>
      </c>
      <c r="B2" s="22"/>
      <c r="L2" s="24"/>
      <c r="M2" s="24"/>
    </row>
    <row r="3" spans="1:14" x14ac:dyDescent="0.3">
      <c r="A3" s="25" t="s">
        <v>2</v>
      </c>
      <c r="B3" s="25"/>
    </row>
    <row r="5" spans="1:14" ht="42.6" customHeight="1" thickBot="1" x14ac:dyDescent="0.35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8" t="s">
        <v>7</v>
      </c>
      <c r="G5" s="28" t="s">
        <v>8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</row>
    <row r="6" spans="1:14" x14ac:dyDescent="0.3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40">
        <v>16.416351824600248</v>
      </c>
      <c r="I6" s="40">
        <v>17.279433736245895</v>
      </c>
      <c r="J6" s="40">
        <v>18.143627866849855</v>
      </c>
      <c r="K6" s="40">
        <v>19.051198536827755</v>
      </c>
      <c r="L6" s="40">
        <v>20.003257965137905</v>
      </c>
      <c r="M6" s="40">
        <v>21.004255027613532</v>
      </c>
      <c r="N6" s="40">
        <v>22.054189724254631</v>
      </c>
    </row>
    <row r="7" spans="1:14" s="30" customFormat="1" x14ac:dyDescent="0.3">
      <c r="A7" s="30" t="s">
        <v>19</v>
      </c>
      <c r="B7" s="49" t="s">
        <v>74</v>
      </c>
      <c r="C7" s="30" t="s">
        <v>20</v>
      </c>
      <c r="D7" s="41" t="s">
        <v>17</v>
      </c>
      <c r="E7" s="41">
        <v>168</v>
      </c>
      <c r="F7" s="41">
        <v>3</v>
      </c>
      <c r="G7" s="41" t="s">
        <v>18</v>
      </c>
      <c r="H7" s="40">
        <v>16.759084460067609</v>
      </c>
      <c r="I7" s="40">
        <v>17.62310939436253</v>
      </c>
      <c r="J7" s="40">
        <v>18.487303524966489</v>
      </c>
      <c r="K7" s="40">
        <v>19.394874194944386</v>
      </c>
      <c r="L7" s="40">
        <v>20.346933623254536</v>
      </c>
      <c r="M7" s="40">
        <v>21.346818466771861</v>
      </c>
      <c r="N7" s="40">
        <v>22.397865382371265</v>
      </c>
    </row>
    <row r="8" spans="1:14" s="30" customFormat="1" ht="12.75" customHeight="1" x14ac:dyDescent="0.3">
      <c r="A8" s="30" t="s">
        <v>21</v>
      </c>
      <c r="B8" s="49" t="s">
        <v>74</v>
      </c>
      <c r="C8" s="30" t="s">
        <v>22</v>
      </c>
      <c r="D8" s="41" t="s">
        <v>17</v>
      </c>
      <c r="E8" s="41">
        <v>168</v>
      </c>
      <c r="F8" s="41">
        <v>3</v>
      </c>
      <c r="G8" s="41" t="s">
        <v>18</v>
      </c>
      <c r="H8" s="40">
        <v>16.758915263758578</v>
      </c>
      <c r="I8" s="40">
        <v>17.62310939436253</v>
      </c>
      <c r="J8" s="40">
        <v>18.487303524966489</v>
      </c>
      <c r="K8" s="40">
        <v>19.394874194944386</v>
      </c>
      <c r="L8" s="40">
        <v>20.346933623254536</v>
      </c>
      <c r="M8" s="40">
        <v>21.346818466771861</v>
      </c>
      <c r="N8" s="40">
        <v>22.397865382371265</v>
      </c>
    </row>
    <row r="9" spans="1:14" x14ac:dyDescent="0.3">
      <c r="H9" s="29"/>
      <c r="I9" s="29"/>
      <c r="J9" s="29"/>
      <c r="K9" s="29"/>
      <c r="L9" s="29"/>
      <c r="M9" s="29"/>
      <c r="N9" s="29"/>
    </row>
    <row r="10" spans="1:14" x14ac:dyDescent="0.3">
      <c r="A10" s="20" t="s">
        <v>23</v>
      </c>
      <c r="B10" s="20"/>
      <c r="H10" s="29"/>
      <c r="I10" s="29"/>
      <c r="J10" s="29"/>
      <c r="K10" s="29"/>
      <c r="L10" s="29"/>
      <c r="M10" s="29"/>
      <c r="N10" s="29"/>
    </row>
    <row r="11" spans="1:14" x14ac:dyDescent="0.3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</row>
    <row r="12" spans="1:14" x14ac:dyDescent="0.3">
      <c r="A12" s="35">
        <v>2</v>
      </c>
      <c r="B12" s="35" t="s">
        <v>78</v>
      </c>
      <c r="C12" s="31"/>
      <c r="D12" s="33"/>
      <c r="E12" s="34"/>
      <c r="F12" s="33"/>
      <c r="G12" s="33"/>
      <c r="H12" s="33"/>
      <c r="I12" s="33"/>
      <c r="J12" s="33"/>
      <c r="K12" s="33"/>
    </row>
    <row r="13" spans="1:14" x14ac:dyDescent="0.3">
      <c r="A13" s="35"/>
      <c r="B13" s="35"/>
      <c r="C13" s="31"/>
      <c r="D13" s="33"/>
      <c r="E13" s="34"/>
      <c r="F13" s="33"/>
      <c r="G13" s="33"/>
      <c r="H13" s="33"/>
      <c r="I13" s="33"/>
      <c r="J13" s="33"/>
      <c r="K13" s="33"/>
    </row>
    <row r="14" spans="1:14" x14ac:dyDescent="0.3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14" x14ac:dyDescent="0.3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</row>
    <row r="16" spans="1:14" x14ac:dyDescent="0.3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11" x14ac:dyDescent="0.3">
      <c r="A17" s="37">
        <v>0.49559520000000001</v>
      </c>
      <c r="B17" s="25" t="s">
        <v>32</v>
      </c>
      <c r="J17" s="38"/>
      <c r="K17" s="33"/>
    </row>
    <row r="18" spans="1:11" x14ac:dyDescent="0.3">
      <c r="A18" s="37">
        <v>0.67870560000000002</v>
      </c>
      <c r="B18" s="25" t="s">
        <v>33</v>
      </c>
      <c r="J18" s="38"/>
      <c r="K18" s="33"/>
    </row>
    <row r="19" spans="1:11" x14ac:dyDescent="0.3">
      <c r="A19" s="37">
        <v>0.75881639999999995</v>
      </c>
      <c r="B19" s="25" t="s">
        <v>34</v>
      </c>
      <c r="J19" s="38"/>
      <c r="K19" s="33"/>
    </row>
    <row r="20" spans="1:11" x14ac:dyDescent="0.3">
      <c r="A20" s="37">
        <v>0.90239159999999996</v>
      </c>
      <c r="B20" s="25" t="s">
        <v>35</v>
      </c>
      <c r="J20" s="38"/>
      <c r="K20" s="33"/>
    </row>
    <row r="21" spans="1:11" x14ac:dyDescent="0.3">
      <c r="A21" s="37"/>
      <c r="B21" s="37"/>
      <c r="C21" s="25"/>
      <c r="J21" s="38"/>
      <c r="K21" s="33"/>
    </row>
    <row r="22" spans="1:11" x14ac:dyDescent="0.3">
      <c r="A22" s="20" t="s">
        <v>39</v>
      </c>
      <c r="B22" s="20"/>
    </row>
    <row r="23" spans="1:11" x14ac:dyDescent="0.3">
      <c r="A23" s="31" t="s">
        <v>38</v>
      </c>
      <c r="B23" s="31"/>
    </row>
    <row r="24" spans="1:11" x14ac:dyDescent="0.3">
      <c r="A24" s="31" t="s">
        <v>37</v>
      </c>
      <c r="B24" s="31"/>
    </row>
  </sheetData>
  <pageMargins left="0.75" right="0.75" top="1" bottom="1" header="0.5" footer="0.5"/>
  <pageSetup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4"/>
  <sheetViews>
    <sheetView workbookViewId="0">
      <selection activeCell="H11" sqref="H11"/>
    </sheetView>
  </sheetViews>
  <sheetFormatPr defaultColWidth="9.109375" defaultRowHeight="14.4" x14ac:dyDescent="0.3"/>
  <cols>
    <col min="1" max="2" width="7" style="23" customWidth="1"/>
    <col min="3" max="3" width="33.44140625" style="23" customWidth="1"/>
    <col min="4" max="4" width="5.33203125" style="23" customWidth="1"/>
    <col min="5" max="5" width="5" style="23" hidden="1" customWidth="1"/>
    <col min="6" max="7" width="2.44140625" style="23" bestFit="1" customWidth="1"/>
    <col min="8" max="8" width="7.33203125" style="23" bestFit="1" customWidth="1"/>
    <col min="9" max="9" width="8.44140625" style="23" bestFit="1" customWidth="1"/>
    <col min="10" max="14" width="7" style="23" bestFit="1" customWidth="1"/>
    <col min="15" max="16384" width="9.109375" style="23"/>
  </cols>
  <sheetData>
    <row r="1" spans="1:14" x14ac:dyDescent="0.3">
      <c r="A1" s="22" t="s">
        <v>75</v>
      </c>
      <c r="B1" s="22"/>
    </row>
    <row r="2" spans="1:14" x14ac:dyDescent="0.3">
      <c r="A2" s="22" t="s">
        <v>43</v>
      </c>
      <c r="B2" s="22"/>
      <c r="L2" s="24"/>
      <c r="M2" s="24"/>
    </row>
    <row r="3" spans="1:14" x14ac:dyDescent="0.3">
      <c r="A3" s="25" t="s">
        <v>2</v>
      </c>
      <c r="B3" s="25"/>
    </row>
    <row r="5" spans="1:14" ht="42.6" customHeight="1" thickBot="1" x14ac:dyDescent="0.35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8" t="s">
        <v>7</v>
      </c>
      <c r="G5" s="28" t="s">
        <v>8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</row>
    <row r="6" spans="1:14" x14ac:dyDescent="0.3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40">
        <f>'January 2018'!H6*1.025</f>
        <v>16.826760620215254</v>
      </c>
      <c r="I6" s="40">
        <f>'January 2018'!I6*1.025</f>
        <v>17.711419579652041</v>
      </c>
      <c r="J6" s="40">
        <f>'January 2018'!J6*1.025</f>
        <v>18.5972185635211</v>
      </c>
      <c r="K6" s="40">
        <f>'January 2018'!K6*1.025</f>
        <v>19.527478500248446</v>
      </c>
      <c r="L6" s="40">
        <f>'January 2018'!L6*1.025</f>
        <v>20.50333941426635</v>
      </c>
      <c r="M6" s="40">
        <f>'January 2018'!M6*1.025</f>
        <v>21.529361403303866</v>
      </c>
      <c r="N6" s="40">
        <f>'January 2018'!N6*1.025</f>
        <v>22.605544467360993</v>
      </c>
    </row>
    <row r="7" spans="1:14" s="30" customFormat="1" x14ac:dyDescent="0.3">
      <c r="A7" s="30" t="s">
        <v>19</v>
      </c>
      <c r="B7" s="49" t="s">
        <v>74</v>
      </c>
      <c r="C7" s="30" t="s">
        <v>20</v>
      </c>
      <c r="D7" s="41" t="s">
        <v>17</v>
      </c>
      <c r="E7" s="41">
        <v>168</v>
      </c>
      <c r="F7" s="41">
        <v>3</v>
      </c>
      <c r="G7" s="41" t="s">
        <v>18</v>
      </c>
      <c r="H7" s="40">
        <f>'January 2018'!H7*1.025</f>
        <v>17.178061571569298</v>
      </c>
      <c r="I7" s="40">
        <f>'January 2018'!I7*1.025</f>
        <v>18.063687129221591</v>
      </c>
      <c r="J7" s="40">
        <f>'January 2018'!J7*1.025</f>
        <v>18.94948611309065</v>
      </c>
      <c r="K7" s="40">
        <f>'January 2018'!K7*1.025</f>
        <v>19.879746049817992</v>
      </c>
      <c r="L7" s="40">
        <f>'January 2018'!L7*1.025</f>
        <v>20.855606963835896</v>
      </c>
      <c r="M7" s="40">
        <f>'January 2018'!M7*1.025</f>
        <v>21.880488928441157</v>
      </c>
      <c r="N7" s="40">
        <f>'January 2018'!N7*1.025</f>
        <v>22.957812016930543</v>
      </c>
    </row>
    <row r="8" spans="1:14" s="30" customFormat="1" ht="12.75" customHeight="1" x14ac:dyDescent="0.3">
      <c r="A8" s="30" t="s">
        <v>21</v>
      </c>
      <c r="B8" s="49" t="s">
        <v>74</v>
      </c>
      <c r="C8" s="30" t="s">
        <v>22</v>
      </c>
      <c r="D8" s="41" t="s">
        <v>17</v>
      </c>
      <c r="E8" s="41">
        <v>168</v>
      </c>
      <c r="F8" s="41">
        <v>3</v>
      </c>
      <c r="G8" s="41" t="s">
        <v>18</v>
      </c>
      <c r="H8" s="40">
        <f>'January 2018'!H8*1.025</f>
        <v>17.17788814535254</v>
      </c>
      <c r="I8" s="40">
        <f>'January 2018'!I8*1.025</f>
        <v>18.063687129221591</v>
      </c>
      <c r="J8" s="40">
        <f>'January 2018'!J8*1.025</f>
        <v>18.94948611309065</v>
      </c>
      <c r="K8" s="40">
        <f>'January 2018'!K8*1.025</f>
        <v>19.879746049817992</v>
      </c>
      <c r="L8" s="40">
        <f>'January 2018'!L8*1.025</f>
        <v>20.855606963835896</v>
      </c>
      <c r="M8" s="40">
        <f>'January 2018'!M8*1.025</f>
        <v>21.880488928441157</v>
      </c>
      <c r="N8" s="40">
        <f>'January 2018'!N8*1.025</f>
        <v>22.957812016930543</v>
      </c>
    </row>
    <row r="9" spans="1:14" x14ac:dyDescent="0.3">
      <c r="H9" s="29"/>
      <c r="I9" s="29"/>
      <c r="J9" s="29"/>
      <c r="K9" s="29"/>
      <c r="L9" s="29"/>
      <c r="M9" s="29"/>
      <c r="N9" s="29"/>
    </row>
    <row r="10" spans="1:14" x14ac:dyDescent="0.3">
      <c r="A10" s="20" t="s">
        <v>23</v>
      </c>
      <c r="B10" s="20"/>
      <c r="H10" s="29"/>
      <c r="I10" s="29"/>
      <c r="J10" s="29"/>
      <c r="K10" s="29"/>
      <c r="L10" s="29"/>
      <c r="M10" s="29"/>
      <c r="N10" s="29"/>
    </row>
    <row r="11" spans="1:14" x14ac:dyDescent="0.3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</row>
    <row r="12" spans="1:14" x14ac:dyDescent="0.3">
      <c r="A12" s="35">
        <f>'January 2018'!A12*1.025</f>
        <v>2.0499999999999998</v>
      </c>
      <c r="B12" s="35" t="s">
        <v>78</v>
      </c>
      <c r="C12" s="31"/>
      <c r="D12" s="33"/>
      <c r="E12" s="34"/>
      <c r="F12" s="33"/>
      <c r="G12" s="33"/>
      <c r="H12" s="33"/>
      <c r="I12" s="33"/>
      <c r="J12" s="33"/>
      <c r="K12" s="33"/>
    </row>
    <row r="13" spans="1:14" x14ac:dyDescent="0.3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</row>
    <row r="14" spans="1:14" x14ac:dyDescent="0.3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14" x14ac:dyDescent="0.3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</row>
    <row r="16" spans="1:14" x14ac:dyDescent="0.3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11" x14ac:dyDescent="0.3">
      <c r="A17" s="37">
        <v>0.49559520000000001</v>
      </c>
      <c r="B17" s="25" t="s">
        <v>32</v>
      </c>
      <c r="J17" s="38"/>
      <c r="K17" s="33"/>
    </row>
    <row r="18" spans="1:11" x14ac:dyDescent="0.3">
      <c r="A18" s="37">
        <v>0.67870560000000002</v>
      </c>
      <c r="B18" s="25" t="s">
        <v>33</v>
      </c>
      <c r="J18" s="38"/>
      <c r="K18" s="33"/>
    </row>
    <row r="19" spans="1:11" x14ac:dyDescent="0.3">
      <c r="A19" s="37">
        <v>0.75881639999999995</v>
      </c>
      <c r="B19" s="25" t="s">
        <v>34</v>
      </c>
      <c r="J19" s="38"/>
      <c r="K19" s="33"/>
    </row>
    <row r="20" spans="1:11" x14ac:dyDescent="0.3">
      <c r="A20" s="37">
        <v>0.90239159999999996</v>
      </c>
      <c r="B20" s="25" t="s">
        <v>35</v>
      </c>
      <c r="J20" s="38"/>
      <c r="K20" s="33"/>
    </row>
    <row r="21" spans="1:11" x14ac:dyDescent="0.3">
      <c r="A21" s="37"/>
      <c r="B21" s="37"/>
      <c r="C21" s="25"/>
      <c r="J21" s="38"/>
      <c r="K21" s="33"/>
    </row>
    <row r="22" spans="1:11" x14ac:dyDescent="0.3">
      <c r="A22" s="20" t="s">
        <v>39</v>
      </c>
      <c r="B22" s="20"/>
    </row>
    <row r="23" spans="1:11" x14ac:dyDescent="0.3">
      <c r="A23" s="31" t="s">
        <v>38</v>
      </c>
      <c r="B23" s="31"/>
    </row>
    <row r="24" spans="1:11" x14ac:dyDescent="0.3">
      <c r="A24" s="31" t="s">
        <v>37</v>
      </c>
      <c r="B24" s="31"/>
    </row>
  </sheetData>
  <pageMargins left="0.75" right="0.75" top="1" bottom="1" header="0.5" footer="0.5"/>
  <pageSetup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4"/>
  <sheetViews>
    <sheetView workbookViewId="0">
      <selection activeCell="H11" sqref="H11"/>
    </sheetView>
  </sheetViews>
  <sheetFormatPr defaultColWidth="9.109375" defaultRowHeight="14.4" x14ac:dyDescent="0.3"/>
  <cols>
    <col min="1" max="2" width="7" style="23" customWidth="1"/>
    <col min="3" max="3" width="34.44140625" style="23" customWidth="1"/>
    <col min="4" max="4" width="5.33203125" style="23" customWidth="1"/>
    <col min="5" max="5" width="5" style="23" hidden="1" customWidth="1"/>
    <col min="6" max="7" width="2.44140625" style="23" bestFit="1" customWidth="1"/>
    <col min="8" max="8" width="7.33203125" style="23" bestFit="1" customWidth="1"/>
    <col min="9" max="9" width="8.44140625" style="23" bestFit="1" customWidth="1"/>
    <col min="10" max="14" width="7" style="23" bestFit="1" customWidth="1"/>
    <col min="15" max="16384" width="9.109375" style="23"/>
  </cols>
  <sheetData>
    <row r="1" spans="1:14" x14ac:dyDescent="0.3">
      <c r="A1" s="22" t="s">
        <v>75</v>
      </c>
      <c r="B1" s="22"/>
    </row>
    <row r="2" spans="1:14" x14ac:dyDescent="0.3">
      <c r="A2" s="22" t="s">
        <v>77</v>
      </c>
      <c r="B2" s="22"/>
      <c r="L2" s="24"/>
      <c r="M2" s="24"/>
    </row>
    <row r="3" spans="1:14" x14ac:dyDescent="0.3">
      <c r="A3" s="25" t="s">
        <v>2</v>
      </c>
      <c r="B3" s="25"/>
    </row>
    <row r="5" spans="1:14" ht="42.6" customHeight="1" thickBot="1" x14ac:dyDescent="0.35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8" t="s">
        <v>7</v>
      </c>
      <c r="G5" s="28" t="s">
        <v>8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</row>
    <row r="6" spans="1:14" x14ac:dyDescent="0.3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40">
        <f>'May 2018'!H6</f>
        <v>16.826760620215254</v>
      </c>
      <c r="I6" s="40">
        <f>'May 2018'!I6</f>
        <v>17.711419579652041</v>
      </c>
      <c r="J6" s="40">
        <f>'May 2018'!J6</f>
        <v>18.5972185635211</v>
      </c>
      <c r="K6" s="40">
        <f>'May 2018'!K6</f>
        <v>19.527478500248446</v>
      </c>
      <c r="L6" s="40">
        <f>'May 2018'!L6</f>
        <v>20.50333941426635</v>
      </c>
      <c r="M6" s="40">
        <f>'May 2018'!M6</f>
        <v>21.529361403303866</v>
      </c>
      <c r="N6" s="40">
        <f>'May 2018'!N6</f>
        <v>22.605544467360993</v>
      </c>
    </row>
    <row r="7" spans="1:14" s="30" customFormat="1" x14ac:dyDescent="0.3">
      <c r="A7" s="30" t="s">
        <v>19</v>
      </c>
      <c r="B7" s="49" t="s">
        <v>74</v>
      </c>
      <c r="C7" s="30" t="s">
        <v>20</v>
      </c>
      <c r="D7" s="41" t="s">
        <v>17</v>
      </c>
      <c r="E7" s="41">
        <v>168</v>
      </c>
      <c r="F7" s="41">
        <v>3</v>
      </c>
      <c r="G7" s="41" t="s">
        <v>18</v>
      </c>
      <c r="H7" s="40">
        <f>'May 2018'!H7</f>
        <v>17.178061571569298</v>
      </c>
      <c r="I7" s="40">
        <f>'May 2018'!I7</f>
        <v>18.063687129221591</v>
      </c>
      <c r="J7" s="40">
        <f>'May 2018'!J7</f>
        <v>18.94948611309065</v>
      </c>
      <c r="K7" s="40">
        <f>'May 2018'!K7</f>
        <v>19.879746049817992</v>
      </c>
      <c r="L7" s="40">
        <f>'May 2018'!L7</f>
        <v>20.855606963835896</v>
      </c>
      <c r="M7" s="40">
        <f>'May 2018'!M7</f>
        <v>21.880488928441157</v>
      </c>
      <c r="N7" s="40">
        <f>'May 2018'!N7</f>
        <v>22.957812016930543</v>
      </c>
    </row>
    <row r="8" spans="1:14" s="30" customFormat="1" ht="12.75" customHeight="1" x14ac:dyDescent="0.3">
      <c r="A8" s="30" t="s">
        <v>21</v>
      </c>
      <c r="B8" s="49" t="s">
        <v>74</v>
      </c>
      <c r="C8" s="30" t="s">
        <v>22</v>
      </c>
      <c r="D8" s="41" t="s">
        <v>17</v>
      </c>
      <c r="E8" s="41">
        <v>168</v>
      </c>
      <c r="F8" s="41">
        <v>3</v>
      </c>
      <c r="G8" s="41" t="s">
        <v>18</v>
      </c>
      <c r="H8" s="40">
        <f>'May 2018'!H8</f>
        <v>17.17788814535254</v>
      </c>
      <c r="I8" s="40">
        <f>'May 2018'!I8</f>
        <v>18.063687129221591</v>
      </c>
      <c r="J8" s="40">
        <f>'May 2018'!J8</f>
        <v>18.94948611309065</v>
      </c>
      <c r="K8" s="40">
        <f>'May 2018'!K8</f>
        <v>19.879746049817992</v>
      </c>
      <c r="L8" s="40">
        <f>'May 2018'!L8</f>
        <v>20.855606963835896</v>
      </c>
      <c r="M8" s="40">
        <f>'May 2018'!M8</f>
        <v>21.880488928441157</v>
      </c>
      <c r="N8" s="40">
        <f>'May 2018'!N8</f>
        <v>22.957812016930543</v>
      </c>
    </row>
    <row r="9" spans="1:14" x14ac:dyDescent="0.3">
      <c r="H9" s="29"/>
      <c r="I9" s="29"/>
      <c r="J9" s="29"/>
      <c r="K9" s="29"/>
      <c r="L9" s="29"/>
      <c r="M9" s="29"/>
      <c r="N9" s="29"/>
    </row>
    <row r="10" spans="1:14" x14ac:dyDescent="0.3">
      <c r="A10" s="20" t="s">
        <v>23</v>
      </c>
      <c r="B10" s="20"/>
      <c r="H10" s="29"/>
      <c r="I10" s="29"/>
      <c r="J10" s="29"/>
      <c r="K10" s="29"/>
      <c r="L10" s="29"/>
      <c r="M10" s="29"/>
      <c r="N10" s="29"/>
    </row>
    <row r="11" spans="1:14" x14ac:dyDescent="0.3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</row>
    <row r="12" spans="1:14" x14ac:dyDescent="0.3">
      <c r="A12" s="35">
        <f>'May 2018'!A12</f>
        <v>2.0499999999999998</v>
      </c>
      <c r="B12" s="31" t="s">
        <v>78</v>
      </c>
      <c r="D12" s="33"/>
      <c r="E12" s="34"/>
      <c r="F12" s="33"/>
      <c r="G12" s="33"/>
      <c r="H12" s="33"/>
      <c r="I12" s="33"/>
      <c r="J12" s="33"/>
      <c r="K12" s="33"/>
    </row>
    <row r="13" spans="1:14" x14ac:dyDescent="0.3">
      <c r="A13" s="35"/>
      <c r="B13" s="35"/>
      <c r="C13" s="31"/>
      <c r="D13" s="33"/>
      <c r="E13" s="34"/>
      <c r="F13" s="33"/>
      <c r="G13" s="33"/>
      <c r="H13" s="33"/>
      <c r="I13" s="33"/>
      <c r="J13" s="33"/>
      <c r="K13" s="33"/>
    </row>
    <row r="14" spans="1:14" x14ac:dyDescent="0.3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14" x14ac:dyDescent="0.3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</row>
    <row r="16" spans="1:14" x14ac:dyDescent="0.3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11" x14ac:dyDescent="0.3">
      <c r="A17" s="37">
        <v>0.49559520000000001</v>
      </c>
      <c r="B17" s="25" t="s">
        <v>32</v>
      </c>
      <c r="J17" s="38"/>
      <c r="K17" s="33"/>
    </row>
    <row r="18" spans="1:11" x14ac:dyDescent="0.3">
      <c r="A18" s="37">
        <v>0.67870560000000002</v>
      </c>
      <c r="B18" s="25" t="s">
        <v>33</v>
      </c>
      <c r="J18" s="38"/>
      <c r="K18" s="33"/>
    </row>
    <row r="19" spans="1:11" x14ac:dyDescent="0.3">
      <c r="A19" s="37">
        <v>0.75881639999999995</v>
      </c>
      <c r="B19" s="25" t="s">
        <v>34</v>
      </c>
      <c r="J19" s="38"/>
      <c r="K19" s="33"/>
    </row>
    <row r="20" spans="1:11" x14ac:dyDescent="0.3">
      <c r="A20" s="37">
        <v>0.90239159999999996</v>
      </c>
      <c r="B20" s="25" t="s">
        <v>35</v>
      </c>
      <c r="J20" s="38"/>
      <c r="K20" s="33"/>
    </row>
    <row r="21" spans="1:11" x14ac:dyDescent="0.3">
      <c r="A21" s="37"/>
      <c r="B21" s="37"/>
      <c r="C21" s="25"/>
      <c r="J21" s="38"/>
      <c r="K21" s="33"/>
    </row>
    <row r="22" spans="1:11" x14ac:dyDescent="0.3">
      <c r="A22" s="20" t="s">
        <v>39</v>
      </c>
      <c r="B22" s="20"/>
    </row>
    <row r="23" spans="1:11" x14ac:dyDescent="0.3">
      <c r="A23" s="31" t="s">
        <v>38</v>
      </c>
      <c r="B23" s="31"/>
    </row>
    <row r="24" spans="1:11" x14ac:dyDescent="0.3">
      <c r="A24" s="31" t="s">
        <v>44</v>
      </c>
      <c r="B24" s="31"/>
    </row>
  </sheetData>
  <pageMargins left="0.75" right="0.75" top="1" bottom="1" header="0.5" footer="0.5"/>
  <pageSetup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4"/>
  <sheetViews>
    <sheetView workbookViewId="0">
      <selection activeCell="C33" sqref="C33"/>
    </sheetView>
  </sheetViews>
  <sheetFormatPr defaultColWidth="9.109375" defaultRowHeight="14.4" x14ac:dyDescent="0.3"/>
  <cols>
    <col min="1" max="2" width="7" style="23" customWidth="1"/>
    <col min="3" max="3" width="32.88671875" style="23" customWidth="1"/>
    <col min="4" max="4" width="5.33203125" style="23" customWidth="1"/>
    <col min="5" max="5" width="5" style="23" hidden="1" customWidth="1"/>
    <col min="6" max="7" width="2.44140625" style="23" bestFit="1" customWidth="1"/>
    <col min="8" max="8" width="7.33203125" style="23" bestFit="1" customWidth="1"/>
    <col min="9" max="9" width="8.44140625" style="23" bestFit="1" customWidth="1"/>
    <col min="10" max="14" width="7" style="23" bestFit="1" customWidth="1"/>
    <col min="15" max="15" width="9.109375" style="23"/>
    <col min="16" max="16" width="0" style="52" hidden="1" customWidth="1"/>
    <col min="17" max="16384" width="9.109375" style="23"/>
  </cols>
  <sheetData>
    <row r="1" spans="1:15" x14ac:dyDescent="0.3">
      <c r="A1" s="22" t="s">
        <v>75</v>
      </c>
      <c r="B1" s="22"/>
    </row>
    <row r="2" spans="1:15" x14ac:dyDescent="0.3">
      <c r="A2" s="22" t="s">
        <v>47</v>
      </c>
      <c r="B2" s="22"/>
      <c r="L2" s="24"/>
      <c r="M2" s="24"/>
    </row>
    <row r="3" spans="1:15" x14ac:dyDescent="0.3">
      <c r="A3" s="25" t="s">
        <v>2</v>
      </c>
      <c r="B3" s="25"/>
    </row>
    <row r="4" spans="1:15" x14ac:dyDescent="0.3">
      <c r="O4" s="23" t="s">
        <v>76</v>
      </c>
    </row>
    <row r="5" spans="1:15" ht="42.6" customHeight="1" thickBot="1" x14ac:dyDescent="0.35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8" t="s">
        <v>7</v>
      </c>
      <c r="G5" s="28" t="s">
        <v>8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</row>
    <row r="6" spans="1:15" x14ac:dyDescent="0.3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40">
        <f>'September 30 2018'!H6*1.025</f>
        <v>17.247429635720632</v>
      </c>
      <c r="I6" s="40">
        <f>'September 30 2018'!I6*1.025</f>
        <v>18.154205069143341</v>
      </c>
      <c r="J6" s="40">
        <f>'September 30 2018'!J6*1.025</f>
        <v>19.062149027609127</v>
      </c>
      <c r="K6" s="40">
        <f>'September 30 2018'!K6*1.025</f>
        <v>20.015665462754654</v>
      </c>
      <c r="L6" s="40">
        <f>'September 30 2018'!L6*1.025</f>
        <v>21.015922899623007</v>
      </c>
      <c r="M6" s="40">
        <f>'September 30 2018'!M6*1.025</f>
        <v>22.067595438386462</v>
      </c>
      <c r="N6" s="40">
        <f>'September 30 2018'!N6*1.025</f>
        <v>23.170683079045016</v>
      </c>
    </row>
    <row r="7" spans="1:15" x14ac:dyDescent="0.3">
      <c r="A7" s="23" t="s">
        <v>19</v>
      </c>
      <c r="B7" s="49" t="s">
        <v>74</v>
      </c>
      <c r="C7" s="23" t="s">
        <v>20</v>
      </c>
      <c r="D7" s="39" t="s">
        <v>17</v>
      </c>
      <c r="E7" s="39">
        <v>168</v>
      </c>
      <c r="F7" s="39">
        <v>3</v>
      </c>
      <c r="G7" s="39" t="s">
        <v>18</v>
      </c>
      <c r="H7" s="40">
        <f>'September 30 2018'!H7*1.025</f>
        <v>17.60751311085853</v>
      </c>
      <c r="I7" s="40">
        <f>'September 30 2018'!I7*1.025</f>
        <v>18.515279307452129</v>
      </c>
      <c r="J7" s="40">
        <f>'September 30 2018'!J7*1.025</f>
        <v>19.423223265917915</v>
      </c>
      <c r="K7" s="40">
        <f>'September 30 2018'!K7*1.025</f>
        <v>20.376739701063439</v>
      </c>
      <c r="L7" s="40">
        <f>'September 30 2018'!L7*1.025</f>
        <v>21.376997137931792</v>
      </c>
      <c r="M7" s="40">
        <f>'September 30 2018'!M7*1.025</f>
        <v>22.427501151652184</v>
      </c>
      <c r="N7" s="40">
        <f>'September 30 2018'!N7*1.025</f>
        <v>23.531757317353804</v>
      </c>
    </row>
    <row r="8" spans="1:15" ht="12.75" customHeight="1" x14ac:dyDescent="0.3">
      <c r="A8" s="23" t="s">
        <v>21</v>
      </c>
      <c r="B8" s="49" t="s">
        <v>74</v>
      </c>
      <c r="C8" s="23" t="s">
        <v>22</v>
      </c>
      <c r="D8" s="39" t="s">
        <v>17</v>
      </c>
      <c r="E8" s="39">
        <v>168</v>
      </c>
      <c r="F8" s="39">
        <v>3</v>
      </c>
      <c r="G8" s="39" t="s">
        <v>18</v>
      </c>
      <c r="H8" s="40">
        <f>'September 30 2018'!H8*1.025</f>
        <v>17.607335348986354</v>
      </c>
      <c r="I8" s="40">
        <f>'September 30 2018'!I8*1.025</f>
        <v>18.515279307452129</v>
      </c>
      <c r="J8" s="40">
        <f>'September 30 2018'!J8*1.025</f>
        <v>19.423223265917915</v>
      </c>
      <c r="K8" s="40">
        <f>'September 30 2018'!K8*1.025</f>
        <v>20.376739701063439</v>
      </c>
      <c r="L8" s="40">
        <f>'September 30 2018'!L8*1.025</f>
        <v>21.376997137931792</v>
      </c>
      <c r="M8" s="40">
        <f>'September 30 2018'!M8*1.025</f>
        <v>22.427501151652184</v>
      </c>
      <c r="N8" s="40">
        <f>'September 30 2018'!N8*1.025</f>
        <v>23.531757317353804</v>
      </c>
    </row>
    <row r="9" spans="1:15" x14ac:dyDescent="0.3">
      <c r="H9" s="29"/>
      <c r="I9" s="29"/>
      <c r="J9" s="29"/>
      <c r="K9" s="29"/>
      <c r="L9" s="29"/>
      <c r="M9" s="29"/>
      <c r="N9" s="29"/>
    </row>
    <row r="10" spans="1:15" x14ac:dyDescent="0.3">
      <c r="A10" s="20" t="s">
        <v>23</v>
      </c>
      <c r="B10" s="20"/>
      <c r="H10" s="29"/>
      <c r="I10" s="29"/>
      <c r="J10" s="29"/>
      <c r="K10" s="29"/>
      <c r="L10" s="29"/>
      <c r="M10" s="29"/>
      <c r="N10" s="29"/>
    </row>
    <row r="11" spans="1:15" x14ac:dyDescent="0.3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</row>
    <row r="12" spans="1:15" x14ac:dyDescent="0.3">
      <c r="A12" s="35">
        <f>'September 30 2018'!A12*1.025</f>
        <v>2.1012499999999998</v>
      </c>
      <c r="B12" s="35" t="s">
        <v>78</v>
      </c>
      <c r="C12" s="31"/>
      <c r="D12" s="33"/>
      <c r="E12" s="34"/>
      <c r="F12" s="33"/>
      <c r="G12" s="33"/>
      <c r="H12" s="33"/>
      <c r="I12" s="33"/>
      <c r="J12" s="33"/>
      <c r="K12" s="33"/>
    </row>
    <row r="13" spans="1:15" x14ac:dyDescent="0.3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</row>
    <row r="14" spans="1:15" x14ac:dyDescent="0.3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15" x14ac:dyDescent="0.3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</row>
    <row r="16" spans="1:15" x14ac:dyDescent="0.3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16" x14ac:dyDescent="0.3">
      <c r="A17" s="37">
        <v>0.49559520000000001</v>
      </c>
      <c r="B17" s="25" t="s">
        <v>32</v>
      </c>
      <c r="J17" s="38"/>
      <c r="K17" s="33"/>
    </row>
    <row r="18" spans="1:16" x14ac:dyDescent="0.3">
      <c r="A18" s="37">
        <v>0.67870560000000002</v>
      </c>
      <c r="B18" s="25" t="s">
        <v>33</v>
      </c>
      <c r="J18" s="38"/>
      <c r="K18" s="33"/>
    </row>
    <row r="19" spans="1:16" x14ac:dyDescent="0.3">
      <c r="A19" s="37">
        <v>0.75881639999999995</v>
      </c>
      <c r="B19" s="25" t="s">
        <v>34</v>
      </c>
      <c r="J19" s="38"/>
      <c r="K19" s="33"/>
    </row>
    <row r="20" spans="1:16" x14ac:dyDescent="0.3">
      <c r="A20" s="37">
        <v>0.90239159999999996</v>
      </c>
      <c r="B20" s="25" t="s">
        <v>35</v>
      </c>
      <c r="J20" s="38"/>
      <c r="K20" s="33"/>
    </row>
    <row r="21" spans="1:16" x14ac:dyDescent="0.3">
      <c r="A21" s="37"/>
      <c r="B21" s="37"/>
      <c r="C21" s="25"/>
      <c r="J21" s="38"/>
      <c r="K21" s="33"/>
    </row>
    <row r="22" spans="1:16" x14ac:dyDescent="0.3">
      <c r="A22" s="20" t="s">
        <v>39</v>
      </c>
      <c r="B22" s="20"/>
    </row>
    <row r="23" spans="1:16" x14ac:dyDescent="0.3">
      <c r="A23" s="31" t="s">
        <v>38</v>
      </c>
      <c r="B23" s="31"/>
    </row>
    <row r="24" spans="1:16" x14ac:dyDescent="0.3">
      <c r="A24" s="31" t="s">
        <v>44</v>
      </c>
      <c r="B24" s="31"/>
      <c r="P24" s="55">
        <v>1.2</v>
      </c>
    </row>
  </sheetData>
  <pageMargins left="0.75" right="0.7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F7E2-FA15-4132-AAF5-9D7ECFF36D55}">
  <dimension ref="A1:R25"/>
  <sheetViews>
    <sheetView workbookViewId="0">
      <selection activeCell="C33" sqref="C33"/>
    </sheetView>
  </sheetViews>
  <sheetFormatPr defaultColWidth="9.109375" defaultRowHeight="14.4" x14ac:dyDescent="0.3"/>
  <cols>
    <col min="1" max="2" width="7" style="23" customWidth="1"/>
    <col min="3" max="3" width="32.88671875" style="23" customWidth="1"/>
    <col min="4" max="4" width="5.88671875" style="23" bestFit="1" customWidth="1"/>
    <col min="5" max="5" width="4.109375" style="23" hidden="1" customWidth="1"/>
    <col min="6" max="6" width="6.44140625" style="23" bestFit="1" customWidth="1"/>
    <col min="7" max="7" width="5.33203125" style="23" bestFit="1" customWidth="1"/>
    <col min="8" max="8" width="9.33203125" style="23" customWidth="1"/>
    <col min="9" max="9" width="8.5546875" style="23" bestFit="1" customWidth="1"/>
    <col min="10" max="14" width="7.5546875" style="23" bestFit="1" customWidth="1"/>
    <col min="15" max="15" width="1.5546875" style="23" bestFit="1" customWidth="1"/>
    <col min="16" max="16" width="9.88671875" style="23" bestFit="1" customWidth="1"/>
    <col min="17" max="17" width="27.109375" style="23" bestFit="1" customWidth="1"/>
    <col min="18" max="18" width="8.5546875" style="23" bestFit="1" customWidth="1"/>
    <col min="19" max="16384" width="9.109375" style="23"/>
  </cols>
  <sheetData>
    <row r="1" spans="1:18" x14ac:dyDescent="0.3">
      <c r="A1" s="22" t="s">
        <v>75</v>
      </c>
      <c r="B1" s="22"/>
      <c r="P1" s="52" t="s">
        <v>81</v>
      </c>
      <c r="Q1" s="53">
        <v>1.0249999999999999</v>
      </c>
      <c r="R1" s="52"/>
    </row>
    <row r="2" spans="1:18" x14ac:dyDescent="0.3">
      <c r="A2" s="22" t="s">
        <v>80</v>
      </c>
      <c r="B2" s="22"/>
      <c r="L2" s="24"/>
      <c r="M2" s="24"/>
      <c r="P2" s="52"/>
      <c r="Q2" s="52"/>
      <c r="R2" s="52"/>
    </row>
    <row r="3" spans="1:18" x14ac:dyDescent="0.3">
      <c r="A3" s="25" t="s">
        <v>2</v>
      </c>
      <c r="B3" s="25"/>
      <c r="P3" s="52"/>
      <c r="Q3" s="52"/>
      <c r="R3" s="52"/>
    </row>
    <row r="4" spans="1:18" x14ac:dyDescent="0.3">
      <c r="O4" s="23" t="s">
        <v>76</v>
      </c>
      <c r="P4" s="52"/>
      <c r="Q4" s="52"/>
      <c r="R4" s="52"/>
    </row>
    <row r="5" spans="1:18" ht="29.4" thickBot="1" x14ac:dyDescent="0.35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6" t="s">
        <v>95</v>
      </c>
      <c r="G5" s="26" t="s">
        <v>97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P5" s="52"/>
      <c r="Q5" s="52"/>
      <c r="R5" s="52"/>
    </row>
    <row r="6" spans="1:18" x14ac:dyDescent="0.3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54">
        <f>ROUND(VLOOKUP($A6,'May 1 2019'!$A$6:$N$8,8,0)*PercIncr2020,3)</f>
        <v>17.678999999999998</v>
      </c>
      <c r="I6" s="54">
        <f>ROUND(VLOOKUP($A6,'May 1 2019'!$A$6:$N$8,9,0)*PercIncr2020,3)</f>
        <v>18.608000000000001</v>
      </c>
      <c r="J6" s="54">
        <f>ROUND(VLOOKUP($A6,'May 1 2019'!$A$6:$N$8,10,0)*PercIncr2020,3)</f>
        <v>19.539000000000001</v>
      </c>
      <c r="K6" s="54">
        <f>ROUND(VLOOKUP($A6,'May 1 2019'!$A$6:$N$8,11,0)*PercIncr2020,3)</f>
        <v>20.515999999999998</v>
      </c>
      <c r="L6" s="54">
        <f>ROUND(VLOOKUP($A6,'May 1 2019'!$A$6:$N$8,12,0)*PercIncr2020,3)</f>
        <v>21.541</v>
      </c>
      <c r="M6" s="54">
        <f>ROUND(VLOOKUP($A6,'May 1 2019'!$A$6:$N$8,13,0)*PercIncr2020,3)</f>
        <v>22.619</v>
      </c>
      <c r="N6" s="54">
        <f>ROUND(VLOOKUP($A6,'May 1 2019'!$A$6:$N$8,14,0)*PercIncr2020,3)</f>
        <v>23.75</v>
      </c>
      <c r="P6" s="52"/>
      <c r="Q6" s="52"/>
      <c r="R6" s="52"/>
    </row>
    <row r="7" spans="1:18" x14ac:dyDescent="0.3">
      <c r="A7" s="23" t="s">
        <v>19</v>
      </c>
      <c r="B7" s="49" t="s">
        <v>74</v>
      </c>
      <c r="C7" s="23" t="s">
        <v>20</v>
      </c>
      <c r="D7" s="39" t="s">
        <v>17</v>
      </c>
      <c r="E7" s="39">
        <v>168</v>
      </c>
      <c r="F7" s="39">
        <v>3</v>
      </c>
      <c r="G7" s="39" t="s">
        <v>18</v>
      </c>
      <c r="H7" s="54">
        <f>ROUND(VLOOKUP($A7,'May 1 2019'!$A$6:$N$8,8,0)*PercIncr2020,3)</f>
        <v>18.047999999999998</v>
      </c>
      <c r="I7" s="54">
        <f>ROUND(VLOOKUP($A7,'May 1 2019'!$A$6:$N$8,9,0)*PercIncr2020,3)</f>
        <v>18.978000000000002</v>
      </c>
      <c r="J7" s="54">
        <f>ROUND(VLOOKUP($A7,'May 1 2019'!$A$6:$N$8,10,0)*PercIncr2020,3)</f>
        <v>19.908999999999999</v>
      </c>
      <c r="K7" s="54">
        <f>ROUND(VLOOKUP($A7,'May 1 2019'!$A$6:$N$8,11,0)*PercIncr2020,3)</f>
        <v>20.885999999999999</v>
      </c>
      <c r="L7" s="54">
        <f>ROUND(VLOOKUP($A7,'May 1 2019'!$A$6:$N$8,12,0)*PercIncr2020,3)</f>
        <v>21.911000000000001</v>
      </c>
      <c r="M7" s="54">
        <f>ROUND(VLOOKUP($A7,'May 1 2019'!$A$6:$N$8,13,0)*PercIncr2020,3)</f>
        <v>22.988</v>
      </c>
      <c r="N7" s="54">
        <f>ROUND(VLOOKUP($A7,'May 1 2019'!$A$6:$N$8,14,0)*PercIncr2020,3)</f>
        <v>24.12</v>
      </c>
      <c r="P7" s="52"/>
      <c r="Q7" s="52"/>
      <c r="R7" s="52"/>
    </row>
    <row r="8" spans="1:18" ht="12.75" customHeight="1" x14ac:dyDescent="0.3">
      <c r="A8" s="23" t="s">
        <v>21</v>
      </c>
      <c r="B8" s="49" t="s">
        <v>74</v>
      </c>
      <c r="C8" s="23" t="s">
        <v>22</v>
      </c>
      <c r="D8" s="39" t="s">
        <v>17</v>
      </c>
      <c r="E8" s="39">
        <v>168</v>
      </c>
      <c r="F8" s="39">
        <v>3</v>
      </c>
      <c r="G8" s="39" t="s">
        <v>18</v>
      </c>
      <c r="H8" s="54">
        <f>ROUND(VLOOKUP($A8,'May 1 2019'!$A$6:$N$8,8,0)*PercIncr2020,3)</f>
        <v>18.047999999999998</v>
      </c>
      <c r="I8" s="54">
        <f>ROUND(VLOOKUP($A8,'May 1 2019'!$A$6:$N$8,9,0)*PercIncr2020,3)</f>
        <v>18.978000000000002</v>
      </c>
      <c r="J8" s="54">
        <f>ROUND(VLOOKUP($A8,'May 1 2019'!$A$6:$N$8,10,0)*PercIncr2020,3)</f>
        <v>19.908999999999999</v>
      </c>
      <c r="K8" s="54">
        <f>ROUND(VLOOKUP($A8,'May 1 2019'!$A$6:$N$8,11,0)*PercIncr2020,3)</f>
        <v>20.885999999999999</v>
      </c>
      <c r="L8" s="54">
        <f>ROUND(VLOOKUP($A8,'May 1 2019'!$A$6:$N$8,12,0)*PercIncr2020,3)</f>
        <v>21.911000000000001</v>
      </c>
      <c r="M8" s="54">
        <f>ROUND(VLOOKUP($A8,'May 1 2019'!$A$6:$N$8,13,0)*PercIncr2020,3)</f>
        <v>22.988</v>
      </c>
      <c r="N8" s="54">
        <f>ROUND(VLOOKUP($A8,'May 1 2019'!$A$6:$N$8,14,0)*PercIncr2020,3)</f>
        <v>24.12</v>
      </c>
      <c r="P8" s="52"/>
      <c r="Q8" s="52"/>
      <c r="R8" s="52"/>
    </row>
    <row r="9" spans="1:18" x14ac:dyDescent="0.3">
      <c r="H9" s="29"/>
      <c r="I9" s="29"/>
      <c r="J9" s="29"/>
      <c r="K9" s="29"/>
      <c r="L9" s="29"/>
      <c r="M9" s="29"/>
      <c r="N9" s="29"/>
      <c r="P9" s="52"/>
      <c r="Q9" s="52"/>
      <c r="R9" s="52"/>
    </row>
    <row r="10" spans="1:18" x14ac:dyDescent="0.3">
      <c r="A10" s="20" t="s">
        <v>23</v>
      </c>
      <c r="B10" s="20"/>
      <c r="H10" s="29"/>
      <c r="I10" s="29"/>
      <c r="J10" s="29"/>
      <c r="K10" s="29"/>
      <c r="L10" s="29"/>
      <c r="M10" s="29"/>
      <c r="N10" s="29"/>
      <c r="P10" s="52"/>
      <c r="Q10" s="52"/>
      <c r="R10" s="52"/>
    </row>
    <row r="11" spans="1:18" x14ac:dyDescent="0.3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  <c r="P11" s="52"/>
      <c r="Q11" s="52"/>
      <c r="R11" s="52"/>
    </row>
    <row r="12" spans="1:18" x14ac:dyDescent="0.3">
      <c r="A12" s="50">
        <f>ROUND('May 1 2019'!A12*PercIncr2020,3)</f>
        <v>2.1539999999999999</v>
      </c>
      <c r="B12" s="35" t="s">
        <v>78</v>
      </c>
      <c r="C12" s="31"/>
      <c r="D12" s="33"/>
      <c r="E12" s="34"/>
      <c r="F12" s="33"/>
      <c r="G12" s="33"/>
      <c r="H12" s="33"/>
      <c r="I12" s="33"/>
      <c r="J12" s="33"/>
      <c r="K12" s="33"/>
      <c r="P12" s="56" t="s">
        <v>102</v>
      </c>
      <c r="Q12" s="56" t="s">
        <v>103</v>
      </c>
      <c r="R12" s="58">
        <v>2.1539999999999999</v>
      </c>
    </row>
    <row r="13" spans="1:18" x14ac:dyDescent="0.3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  <c r="P13" s="52"/>
      <c r="Q13" s="52"/>
      <c r="R13" s="52"/>
    </row>
    <row r="14" spans="1:18" x14ac:dyDescent="0.3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  <c r="P14" s="52"/>
      <c r="Q14" s="52"/>
      <c r="R14" s="52"/>
    </row>
    <row r="15" spans="1:18" x14ac:dyDescent="0.3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  <c r="P15" s="52"/>
      <c r="Q15" s="52"/>
      <c r="R15" s="52"/>
    </row>
    <row r="16" spans="1:18" x14ac:dyDescent="0.3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  <c r="P16" s="52" t="s">
        <v>29</v>
      </c>
      <c r="Q16" s="52"/>
      <c r="R16" s="52"/>
    </row>
    <row r="17" spans="1:18" x14ac:dyDescent="0.3">
      <c r="A17" s="50">
        <f>ROUND('May 1 2019'!A17*PercIncr2020,3)</f>
        <v>0.50800000000000001</v>
      </c>
      <c r="B17" s="25" t="s">
        <v>32</v>
      </c>
      <c r="J17" s="38"/>
      <c r="K17" s="33"/>
      <c r="P17" s="52" t="s">
        <v>104</v>
      </c>
      <c r="Q17" s="52"/>
      <c r="R17" s="57">
        <v>0.50800000000000001</v>
      </c>
    </row>
    <row r="18" spans="1:18" x14ac:dyDescent="0.3">
      <c r="A18" s="50">
        <f>ROUND('May 1 2019'!A18*PercIncr2020,2)</f>
        <v>0.7</v>
      </c>
      <c r="B18" s="25" t="s">
        <v>33</v>
      </c>
      <c r="J18" s="38"/>
      <c r="K18" s="33"/>
      <c r="P18" s="52" t="s">
        <v>105</v>
      </c>
      <c r="Q18" s="52"/>
      <c r="R18" s="57">
        <v>0.7</v>
      </c>
    </row>
    <row r="19" spans="1:18" x14ac:dyDescent="0.3">
      <c r="A19" s="50">
        <f>ROUND('May 1 2019'!A19*PercIncr2020,3)</f>
        <v>0.77800000000000002</v>
      </c>
      <c r="B19" s="25" t="s">
        <v>34</v>
      </c>
      <c r="J19" s="38"/>
      <c r="K19" s="33"/>
      <c r="P19" s="52" t="s">
        <v>106</v>
      </c>
      <c r="Q19" s="52"/>
      <c r="R19" s="57">
        <v>0.77800000000000002</v>
      </c>
    </row>
    <row r="20" spans="1:18" x14ac:dyDescent="0.3">
      <c r="A20" s="50">
        <f>ROUND('May 1 2019'!A20*PercIncr2020,3)</f>
        <v>0.92500000000000004</v>
      </c>
      <c r="B20" s="25" t="s">
        <v>35</v>
      </c>
      <c r="J20" s="38"/>
      <c r="K20" s="33"/>
      <c r="P20" s="52" t="s">
        <v>107</v>
      </c>
      <c r="Q20" s="52"/>
      <c r="R20" s="57">
        <v>0.92500000000000004</v>
      </c>
    </row>
    <row r="21" spans="1:18" x14ac:dyDescent="0.3">
      <c r="A21" s="37"/>
      <c r="B21" s="37"/>
      <c r="C21" s="25"/>
      <c r="J21" s="38"/>
      <c r="K21" s="33"/>
      <c r="P21" s="52"/>
      <c r="Q21" s="52"/>
      <c r="R21" s="52"/>
    </row>
    <row r="22" spans="1:18" x14ac:dyDescent="0.3">
      <c r="A22" s="20" t="s">
        <v>39</v>
      </c>
      <c r="B22" s="20"/>
      <c r="P22" s="52"/>
      <c r="Q22" s="52"/>
      <c r="R22" s="52"/>
    </row>
    <row r="23" spans="1:18" x14ac:dyDescent="0.3">
      <c r="A23" s="31" t="s">
        <v>38</v>
      </c>
      <c r="B23" s="31"/>
      <c r="P23" s="52"/>
      <c r="Q23" s="52"/>
      <c r="R23" s="52"/>
    </row>
    <row r="24" spans="1:18" x14ac:dyDescent="0.3">
      <c r="A24" s="31" t="str">
        <f>"and 2:00 a.m. shall be paid an additional "&amp;TEXT(R24,"$#.00")&amp;" per hour for all hours worked on such shift."</f>
        <v>and 2:00 a.m. shall be paid an additional $1.23 per hour for all hours worked on such shift.</v>
      </c>
      <c r="B24" s="31"/>
      <c r="P24" s="56" t="s">
        <v>100</v>
      </c>
      <c r="Q24" s="56" t="s">
        <v>101</v>
      </c>
      <c r="R24" s="57">
        <v>1.23</v>
      </c>
    </row>
    <row r="25" spans="1:18" x14ac:dyDescent="0.3">
      <c r="P25" s="56" t="s">
        <v>98</v>
      </c>
      <c r="Q25" s="56" t="s">
        <v>99</v>
      </c>
      <c r="R25" s="57">
        <v>1.23</v>
      </c>
    </row>
  </sheetData>
  <pageMargins left="0.75" right="0.7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C281-946E-4DC4-8116-78E35738C540}">
  <dimension ref="A1:AK25"/>
  <sheetViews>
    <sheetView workbookViewId="0">
      <selection activeCell="H8" sqref="H8:N8"/>
    </sheetView>
  </sheetViews>
  <sheetFormatPr defaultColWidth="9.109375" defaultRowHeight="14.4" x14ac:dyDescent="0.3"/>
  <cols>
    <col min="1" max="2" width="7" style="23" customWidth="1"/>
    <col min="3" max="3" width="32.88671875" style="23" customWidth="1"/>
    <col min="4" max="4" width="5.88671875" style="23" bestFit="1" customWidth="1"/>
    <col min="5" max="5" width="5" style="23" hidden="1" customWidth="1"/>
    <col min="6" max="6" width="6.44140625" style="23" bestFit="1" customWidth="1"/>
    <col min="7" max="7" width="8.44140625" style="23" bestFit="1" customWidth="1"/>
    <col min="8" max="8" width="9" style="23" customWidth="1"/>
    <col min="9" max="9" width="8.5546875" style="23" bestFit="1" customWidth="1"/>
    <col min="10" max="14" width="7.5546875" style="23" bestFit="1" customWidth="1"/>
    <col min="15" max="15" width="1.5546875" style="23" bestFit="1" customWidth="1"/>
    <col min="16" max="16" width="9.88671875" style="69" bestFit="1" customWidth="1"/>
    <col min="17" max="17" width="8.109375" style="69" bestFit="1" customWidth="1"/>
    <col min="18" max="26" width="9.109375" style="71"/>
    <col min="27" max="27" width="9.109375" style="23"/>
    <col min="28" max="28" width="9.109375" style="62"/>
    <col min="29" max="30" width="9.109375" style="63"/>
    <col min="31" max="37" width="9.109375" style="62"/>
    <col min="38" max="16384" width="9.109375" style="23"/>
  </cols>
  <sheetData>
    <row r="1" spans="1:37" x14ac:dyDescent="0.3">
      <c r="A1" s="22" t="s">
        <v>75</v>
      </c>
      <c r="B1" s="22"/>
      <c r="P1" s="69" t="s">
        <v>94</v>
      </c>
      <c r="Q1" s="70">
        <v>1.0249999999999999</v>
      </c>
    </row>
    <row r="2" spans="1:37" x14ac:dyDescent="0.3">
      <c r="A2" s="22" t="s">
        <v>96</v>
      </c>
      <c r="B2" s="22"/>
      <c r="L2" s="24"/>
      <c r="M2" s="24"/>
    </row>
    <row r="3" spans="1:37" x14ac:dyDescent="0.3">
      <c r="A3" s="25" t="s">
        <v>2</v>
      </c>
      <c r="B3" s="25"/>
    </row>
    <row r="4" spans="1:37" x14ac:dyDescent="0.3">
      <c r="O4" s="23" t="s">
        <v>76</v>
      </c>
    </row>
    <row r="5" spans="1:37" ht="29.4" thickBot="1" x14ac:dyDescent="0.35">
      <c r="A5" s="26" t="s">
        <v>3</v>
      </c>
      <c r="B5" s="26" t="s">
        <v>72</v>
      </c>
      <c r="C5" s="27" t="s">
        <v>4</v>
      </c>
      <c r="D5" s="26" t="s">
        <v>5</v>
      </c>
      <c r="E5" s="28" t="s">
        <v>6</v>
      </c>
      <c r="F5" s="26" t="s">
        <v>95</v>
      </c>
      <c r="G5" s="26" t="s">
        <v>97</v>
      </c>
      <c r="H5" s="26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Q5" s="72" t="s">
        <v>3</v>
      </c>
      <c r="R5" s="73" t="s">
        <v>108</v>
      </c>
      <c r="S5" s="73" t="s">
        <v>66</v>
      </c>
      <c r="T5" s="74" t="s">
        <v>9</v>
      </c>
      <c r="U5" s="73" t="s">
        <v>10</v>
      </c>
      <c r="V5" s="73" t="s">
        <v>11</v>
      </c>
      <c r="W5" s="73" t="s">
        <v>12</v>
      </c>
      <c r="X5" s="73" t="s">
        <v>13</v>
      </c>
      <c r="Y5" s="73" t="s">
        <v>14</v>
      </c>
      <c r="Z5" s="73" t="s">
        <v>15</v>
      </c>
      <c r="AB5" s="64" t="s">
        <v>3</v>
      </c>
      <c r="AC5" s="65" t="s">
        <v>108</v>
      </c>
      <c r="AD5" s="65" t="s">
        <v>66</v>
      </c>
      <c r="AE5" s="66" t="s">
        <v>9</v>
      </c>
      <c r="AF5" s="65" t="s">
        <v>10</v>
      </c>
      <c r="AG5" s="65" t="s">
        <v>11</v>
      </c>
      <c r="AH5" s="65" t="s">
        <v>12</v>
      </c>
      <c r="AI5" s="65" t="s">
        <v>13</v>
      </c>
      <c r="AJ5" s="65" t="s">
        <v>14</v>
      </c>
      <c r="AK5" s="65" t="s">
        <v>15</v>
      </c>
    </row>
    <row r="6" spans="1:37" x14ac:dyDescent="0.3">
      <c r="A6" s="23" t="s">
        <v>16</v>
      </c>
      <c r="B6" s="49" t="s">
        <v>73</v>
      </c>
      <c r="C6" s="23" t="s">
        <v>45</v>
      </c>
      <c r="D6" s="39" t="s">
        <v>17</v>
      </c>
      <c r="E6" s="39">
        <v>153</v>
      </c>
      <c r="F6" s="39">
        <v>3</v>
      </c>
      <c r="G6" s="39" t="s">
        <v>18</v>
      </c>
      <c r="H6" s="54">
        <f>ROUND(VLOOKUP($A6,'June 1 2020'!$A$6:$N$8,8,0)*PercIncr2021,3)</f>
        <v>18.120999999999999</v>
      </c>
      <c r="I6" s="54">
        <f>ROUND(VLOOKUP($A6,'June 1 2020'!$A$6:$N$8,9,0)*PercIncr2021,3)</f>
        <v>19.073</v>
      </c>
      <c r="J6" s="54">
        <f>ROUND(VLOOKUP($A6,'June 1 2020'!$A$6:$N$8,10,0)*PercIncr2021,3)</f>
        <v>20.027000000000001</v>
      </c>
      <c r="K6" s="54">
        <f>ROUND(VLOOKUP($A6,'June 1 2020'!$A$6:$N$8,11,0)*PercIncr2021,3)</f>
        <v>21.029</v>
      </c>
      <c r="L6" s="54">
        <f>ROUND(VLOOKUP($A6,'June 1 2020'!$A$6:$N$8,12,0)*PercIncr2021,3)</f>
        <v>22.08</v>
      </c>
      <c r="M6" s="54">
        <f>ROUND(VLOOKUP($A6,'June 1 2020'!$A$6:$N$8,13,0)*PercIncr2021,3)</f>
        <v>23.184000000000001</v>
      </c>
      <c r="N6" s="54">
        <f>ROUND(VLOOKUP($A6,'June 1 2020'!$A$6:$N$8,14,0)*PercIncr2021,3)</f>
        <v>24.344000000000001</v>
      </c>
      <c r="Q6" s="69" t="str">
        <f>A6</f>
        <v>02630C</v>
      </c>
      <c r="R6" s="71" t="s">
        <v>109</v>
      </c>
      <c r="S6" s="75" t="str">
        <f>B6</f>
        <v xml:space="preserve"> 02</v>
      </c>
      <c r="T6" s="76">
        <f>H6</f>
        <v>18.120999999999999</v>
      </c>
      <c r="U6" s="76">
        <f t="shared" ref="U6:Z6" si="0">I6</f>
        <v>19.073</v>
      </c>
      <c r="V6" s="76">
        <f t="shared" si="0"/>
        <v>20.027000000000001</v>
      </c>
      <c r="W6" s="76">
        <f t="shared" si="0"/>
        <v>21.029</v>
      </c>
      <c r="X6" s="76">
        <f t="shared" si="0"/>
        <v>22.08</v>
      </c>
      <c r="Y6" s="76">
        <f t="shared" si="0"/>
        <v>23.184000000000001</v>
      </c>
      <c r="Z6" s="76">
        <f t="shared" si="0"/>
        <v>24.344000000000001</v>
      </c>
      <c r="AB6" s="62" t="str">
        <f>A6</f>
        <v>02630C</v>
      </c>
      <c r="AC6" s="63" t="str">
        <f>R6</f>
        <v>Y</v>
      </c>
      <c r="AD6" s="67" t="str">
        <f>B6</f>
        <v xml:space="preserve"> 02</v>
      </c>
      <c r="AE6" s="68">
        <f>ROUND(T6,3)</f>
        <v>18.120999999999999</v>
      </c>
      <c r="AF6" s="68">
        <f>ROUND(U6,3)</f>
        <v>19.073</v>
      </c>
      <c r="AG6" s="68">
        <f t="shared" ref="AG6:AK6" si="1">ROUND(V6,3)</f>
        <v>20.027000000000001</v>
      </c>
      <c r="AH6" s="68">
        <f t="shared" si="1"/>
        <v>21.029</v>
      </c>
      <c r="AI6" s="68">
        <f t="shared" si="1"/>
        <v>22.08</v>
      </c>
      <c r="AJ6" s="68">
        <f t="shared" si="1"/>
        <v>23.184000000000001</v>
      </c>
      <c r="AK6" s="68">
        <f t="shared" si="1"/>
        <v>24.344000000000001</v>
      </c>
    </row>
    <row r="7" spans="1:37" x14ac:dyDescent="0.3">
      <c r="A7" s="23" t="s">
        <v>19</v>
      </c>
      <c r="B7" s="49" t="s">
        <v>74</v>
      </c>
      <c r="C7" s="23" t="s">
        <v>20</v>
      </c>
      <c r="D7" s="39" t="s">
        <v>17</v>
      </c>
      <c r="E7" s="39">
        <v>168</v>
      </c>
      <c r="F7" s="39">
        <v>3</v>
      </c>
      <c r="G7" s="39" t="s">
        <v>18</v>
      </c>
      <c r="H7" s="54">
        <f>ROUND(VLOOKUP($A7,'June 1 2020'!$A$6:$N$8,8,0)*PercIncr2021,3)</f>
        <v>18.498999999999999</v>
      </c>
      <c r="I7" s="54">
        <f>ROUND(VLOOKUP($A7,'June 1 2020'!$A$6:$N$8,9,0)*PercIncr2021,3)</f>
        <v>19.452000000000002</v>
      </c>
      <c r="J7" s="54">
        <f>ROUND(VLOOKUP($A7,'June 1 2020'!$A$6:$N$8,10,0)*PercIncr2021,3)</f>
        <v>20.407</v>
      </c>
      <c r="K7" s="54">
        <f>ROUND(VLOOKUP($A7,'June 1 2020'!$A$6:$N$8,11,0)*PercIncr2021,3)</f>
        <v>21.408000000000001</v>
      </c>
      <c r="L7" s="54">
        <f>ROUND(VLOOKUP($A7,'June 1 2020'!$A$6:$N$8,12,0)*PercIncr2021,3)</f>
        <v>22.459</v>
      </c>
      <c r="M7" s="54">
        <f>ROUND(VLOOKUP($A7,'June 1 2020'!$A$6:$N$8,13,0)*PercIncr2021,3)</f>
        <v>23.562999999999999</v>
      </c>
      <c r="N7" s="54">
        <f>ROUND(VLOOKUP($A7,'June 1 2020'!$A$6:$N$8,14,0)*PercIncr2021,3)</f>
        <v>24.722999999999999</v>
      </c>
      <c r="Q7" s="69" t="str">
        <f t="shared" ref="Q7:Q8" si="2">A7</f>
        <v>05355C</v>
      </c>
      <c r="R7" s="71" t="s">
        <v>109</v>
      </c>
      <c r="S7" s="75" t="str">
        <f t="shared" ref="S7:S8" si="3">B7</f>
        <v xml:space="preserve"> 04</v>
      </c>
      <c r="T7" s="76">
        <f t="shared" ref="T7:T8" si="4">H7</f>
        <v>18.498999999999999</v>
      </c>
      <c r="U7" s="76">
        <f t="shared" ref="U7:U8" si="5">I7</f>
        <v>19.452000000000002</v>
      </c>
      <c r="V7" s="76">
        <f t="shared" ref="V7:V8" si="6">J7</f>
        <v>20.407</v>
      </c>
      <c r="W7" s="76">
        <f t="shared" ref="W7:W8" si="7">K7</f>
        <v>21.408000000000001</v>
      </c>
      <c r="X7" s="76">
        <f t="shared" ref="X7:X8" si="8">L7</f>
        <v>22.459</v>
      </c>
      <c r="Y7" s="76">
        <f t="shared" ref="Y7:Y8" si="9">M7</f>
        <v>23.562999999999999</v>
      </c>
      <c r="Z7" s="76">
        <f t="shared" ref="Z7:Z8" si="10">N7</f>
        <v>24.722999999999999</v>
      </c>
      <c r="AB7" s="62" t="str">
        <f t="shared" ref="AB7:AB8" si="11">A7</f>
        <v>05355C</v>
      </c>
      <c r="AC7" s="63" t="str">
        <f t="shared" ref="AC7:AC8" si="12">R7</f>
        <v>Y</v>
      </c>
      <c r="AD7" s="67" t="str">
        <f t="shared" ref="AD7:AD8" si="13">B7</f>
        <v xml:space="preserve"> 04</v>
      </c>
      <c r="AE7" s="68">
        <f t="shared" ref="AE7:AE8" si="14">ROUND(T7,3)</f>
        <v>18.498999999999999</v>
      </c>
      <c r="AF7" s="68">
        <f t="shared" ref="AF7:AF8" si="15">ROUND(U7,3)</f>
        <v>19.452000000000002</v>
      </c>
      <c r="AG7" s="68">
        <f t="shared" ref="AG7:AG8" si="16">ROUND(V7,3)</f>
        <v>20.407</v>
      </c>
      <c r="AH7" s="68">
        <f t="shared" ref="AH7:AH8" si="17">ROUND(W7,3)</f>
        <v>21.408000000000001</v>
      </c>
      <c r="AI7" s="68">
        <f t="shared" ref="AI7:AI8" si="18">ROUND(X7,3)</f>
        <v>22.459</v>
      </c>
      <c r="AJ7" s="68">
        <f t="shared" ref="AJ7:AJ8" si="19">ROUND(Y7,3)</f>
        <v>23.562999999999999</v>
      </c>
      <c r="AK7" s="68">
        <f t="shared" ref="AK7:AK8" si="20">ROUND(Z7,3)</f>
        <v>24.722999999999999</v>
      </c>
    </row>
    <row r="8" spans="1:37" ht="12.75" customHeight="1" x14ac:dyDescent="0.3">
      <c r="A8" s="23" t="s">
        <v>21</v>
      </c>
      <c r="B8" s="49" t="s">
        <v>74</v>
      </c>
      <c r="C8" s="23" t="s">
        <v>22</v>
      </c>
      <c r="D8" s="39" t="s">
        <v>17</v>
      </c>
      <c r="E8" s="39">
        <v>168</v>
      </c>
      <c r="F8" s="39">
        <v>3</v>
      </c>
      <c r="G8" s="39" t="s">
        <v>18</v>
      </c>
      <c r="H8" s="54">
        <f>ROUND(VLOOKUP($A8,'June 1 2020'!$A$6:$N$8,8,0)*PercIncr2021,3)</f>
        <v>18.498999999999999</v>
      </c>
      <c r="I8" s="54">
        <f>ROUND(VLOOKUP($A8,'June 1 2020'!$A$6:$N$8,9,0)*PercIncr2021,3)</f>
        <v>19.452000000000002</v>
      </c>
      <c r="J8" s="54">
        <f>ROUND(VLOOKUP($A8,'June 1 2020'!$A$6:$N$8,10,0)*PercIncr2021,3)</f>
        <v>20.407</v>
      </c>
      <c r="K8" s="54">
        <f>ROUND(VLOOKUP($A8,'June 1 2020'!$A$6:$N$8,11,0)*PercIncr2021,3)</f>
        <v>21.408000000000001</v>
      </c>
      <c r="L8" s="54">
        <f>ROUND(VLOOKUP($A8,'June 1 2020'!$A$6:$N$8,12,0)*PercIncr2021,3)</f>
        <v>22.459</v>
      </c>
      <c r="M8" s="54">
        <f>ROUND(VLOOKUP($A8,'June 1 2020'!$A$6:$N$8,13,0)*PercIncr2021,3)</f>
        <v>23.562999999999999</v>
      </c>
      <c r="N8" s="54">
        <f>ROUND(VLOOKUP($A8,'June 1 2020'!$A$6:$N$8,14,0)*PercIncr2021,3)</f>
        <v>24.722999999999999</v>
      </c>
      <c r="Q8" s="69" t="str">
        <f t="shared" si="2"/>
        <v>04185C</v>
      </c>
      <c r="R8" s="71" t="s">
        <v>109</v>
      </c>
      <c r="S8" s="75" t="str">
        <f t="shared" si="3"/>
        <v xml:space="preserve"> 04</v>
      </c>
      <c r="T8" s="76">
        <f t="shared" si="4"/>
        <v>18.498999999999999</v>
      </c>
      <c r="U8" s="76">
        <f t="shared" si="5"/>
        <v>19.452000000000002</v>
      </c>
      <c r="V8" s="76">
        <f t="shared" si="6"/>
        <v>20.407</v>
      </c>
      <c r="W8" s="76">
        <f t="shared" si="7"/>
        <v>21.408000000000001</v>
      </c>
      <c r="X8" s="76">
        <f t="shared" si="8"/>
        <v>22.459</v>
      </c>
      <c r="Y8" s="76">
        <f t="shared" si="9"/>
        <v>23.562999999999999</v>
      </c>
      <c r="Z8" s="76">
        <f t="shared" si="10"/>
        <v>24.722999999999999</v>
      </c>
      <c r="AB8" s="62" t="str">
        <f t="shared" si="11"/>
        <v>04185C</v>
      </c>
      <c r="AC8" s="63" t="str">
        <f t="shared" si="12"/>
        <v>Y</v>
      </c>
      <c r="AD8" s="67" t="str">
        <f t="shared" si="13"/>
        <v xml:space="preserve"> 04</v>
      </c>
      <c r="AE8" s="68">
        <f t="shared" si="14"/>
        <v>18.498999999999999</v>
      </c>
      <c r="AF8" s="68">
        <f t="shared" si="15"/>
        <v>19.452000000000002</v>
      </c>
      <c r="AG8" s="68">
        <f t="shared" si="16"/>
        <v>20.407</v>
      </c>
      <c r="AH8" s="68">
        <f t="shared" si="17"/>
        <v>21.408000000000001</v>
      </c>
      <c r="AI8" s="68">
        <f t="shared" si="18"/>
        <v>22.459</v>
      </c>
      <c r="AJ8" s="68">
        <f t="shared" si="19"/>
        <v>23.562999999999999</v>
      </c>
      <c r="AK8" s="68">
        <f t="shared" si="20"/>
        <v>24.722999999999999</v>
      </c>
    </row>
    <row r="9" spans="1:37" x14ac:dyDescent="0.3">
      <c r="H9" s="60"/>
      <c r="I9" s="60"/>
      <c r="J9" s="60"/>
      <c r="K9" s="60"/>
      <c r="L9" s="60"/>
      <c r="M9" s="60"/>
      <c r="N9" s="60"/>
    </row>
    <row r="10" spans="1:37" x14ac:dyDescent="0.3">
      <c r="A10" s="20" t="s">
        <v>23</v>
      </c>
      <c r="B10" s="20"/>
      <c r="H10" s="61"/>
      <c r="I10" s="61"/>
      <c r="J10" s="61"/>
      <c r="K10" s="61"/>
      <c r="L10" s="61"/>
      <c r="M10" s="61"/>
      <c r="N10" s="61"/>
    </row>
    <row r="11" spans="1:37" x14ac:dyDescent="0.3">
      <c r="A11" s="31" t="s">
        <v>79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  <c r="Q11" s="69" t="s">
        <v>102</v>
      </c>
      <c r="R11" s="71" t="s">
        <v>109</v>
      </c>
      <c r="T11" s="76">
        <f>A12</f>
        <v>2.2080000000000002</v>
      </c>
      <c r="AB11" s="62" t="str">
        <f>Q11</f>
        <v>CVTLDS</v>
      </c>
      <c r="AC11" s="63" t="str">
        <f>R11</f>
        <v>Y</v>
      </c>
      <c r="AE11" s="68">
        <f t="shared" ref="AE11" si="21">ROUND(T11,3)</f>
        <v>2.2080000000000002</v>
      </c>
    </row>
    <row r="12" spans="1:37" x14ac:dyDescent="0.3">
      <c r="A12" s="50">
        <f>ROUND('June 1 2020'!A12*PercIncr2021,3)</f>
        <v>2.2080000000000002</v>
      </c>
      <c r="B12" s="35" t="s">
        <v>78</v>
      </c>
      <c r="C12" s="31"/>
      <c r="D12" s="33"/>
      <c r="E12" s="34"/>
      <c r="F12" s="33"/>
      <c r="G12" s="33"/>
      <c r="H12" s="33"/>
      <c r="I12" s="33"/>
      <c r="J12" s="33"/>
      <c r="K12" s="33"/>
    </row>
    <row r="13" spans="1:37" x14ac:dyDescent="0.3">
      <c r="A13" s="31"/>
      <c r="B13" s="31"/>
      <c r="C13" s="32"/>
      <c r="D13" s="32"/>
      <c r="E13" s="36"/>
      <c r="F13" s="32"/>
      <c r="G13" s="32"/>
      <c r="H13" s="32"/>
      <c r="I13" s="32"/>
      <c r="J13" s="32"/>
      <c r="K13" s="32"/>
      <c r="L13" s="20"/>
    </row>
    <row r="14" spans="1:37" x14ac:dyDescent="0.3">
      <c r="A14" s="21" t="s">
        <v>29</v>
      </c>
      <c r="B14" s="2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37" x14ac:dyDescent="0.3">
      <c r="A15" s="31" t="s">
        <v>41</v>
      </c>
      <c r="B15" s="31"/>
      <c r="C15" s="33"/>
      <c r="D15" s="33"/>
      <c r="E15" s="34"/>
      <c r="F15" s="33"/>
      <c r="G15" s="33"/>
      <c r="H15" s="33"/>
      <c r="I15" s="33"/>
      <c r="J15" s="33"/>
      <c r="K15" s="33"/>
    </row>
    <row r="16" spans="1:37" x14ac:dyDescent="0.3">
      <c r="A16" s="31" t="s">
        <v>42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31" x14ac:dyDescent="0.3">
      <c r="A17" s="50">
        <f>ROUND('June 1 2020'!A17*PercIncr2021,3)</f>
        <v>0.52100000000000002</v>
      </c>
      <c r="B17" s="25" t="s">
        <v>32</v>
      </c>
      <c r="I17" s="59"/>
      <c r="J17" s="38"/>
      <c r="K17" s="33"/>
      <c r="Q17" s="69" t="s">
        <v>110</v>
      </c>
      <c r="R17" s="71" t="s">
        <v>109</v>
      </c>
      <c r="T17" s="76">
        <f>A17</f>
        <v>0.52100000000000002</v>
      </c>
      <c r="AB17" s="62" t="str">
        <f>Q17</f>
        <v>10th</v>
      </c>
      <c r="AC17" s="63" t="str">
        <f t="shared" ref="AC17:AC20" si="22">R17</f>
        <v>Y</v>
      </c>
      <c r="AE17" s="68">
        <f t="shared" ref="AE17:AE20" si="23">ROUND(T17,3)</f>
        <v>0.52100000000000002</v>
      </c>
    </row>
    <row r="18" spans="1:31" x14ac:dyDescent="0.3">
      <c r="A18" s="50">
        <f>ROUND('June 1 2020'!A18*PercIncr2021,3)</f>
        <v>0.71799999999999997</v>
      </c>
      <c r="B18" s="25" t="s">
        <v>33</v>
      </c>
      <c r="I18" s="59"/>
      <c r="J18" s="38"/>
      <c r="K18" s="33"/>
      <c r="Q18" s="69" t="s">
        <v>111</v>
      </c>
      <c r="R18" s="71" t="s">
        <v>109</v>
      </c>
      <c r="T18" s="76">
        <f t="shared" ref="T18:T20" si="24">A18</f>
        <v>0.71799999999999997</v>
      </c>
      <c r="AB18" s="62" t="str">
        <f t="shared" ref="AB18:AB20" si="25">Q18</f>
        <v>15th</v>
      </c>
      <c r="AC18" s="63" t="str">
        <f t="shared" si="22"/>
        <v>Y</v>
      </c>
      <c r="AE18" s="68">
        <f t="shared" si="23"/>
        <v>0.71799999999999997</v>
      </c>
    </row>
    <row r="19" spans="1:31" x14ac:dyDescent="0.3">
      <c r="A19" s="50">
        <f>ROUND('June 1 2020'!A19*PercIncr2021,3)</f>
        <v>0.79700000000000004</v>
      </c>
      <c r="B19" s="25" t="s">
        <v>34</v>
      </c>
      <c r="I19" s="59"/>
      <c r="J19" s="38"/>
      <c r="K19" s="33"/>
      <c r="Q19" s="69" t="s">
        <v>112</v>
      </c>
      <c r="R19" s="71" t="s">
        <v>109</v>
      </c>
      <c r="T19" s="76">
        <f t="shared" si="24"/>
        <v>0.79700000000000004</v>
      </c>
      <c r="AB19" s="62" t="str">
        <f t="shared" si="25"/>
        <v>20th</v>
      </c>
      <c r="AC19" s="63" t="str">
        <f t="shared" si="22"/>
        <v>Y</v>
      </c>
      <c r="AE19" s="68">
        <f t="shared" si="23"/>
        <v>0.79700000000000004</v>
      </c>
    </row>
    <row r="20" spans="1:31" x14ac:dyDescent="0.3">
      <c r="A20" s="50">
        <f>ROUND('June 1 2020'!A20*PercIncr2021,3)</f>
        <v>0.94799999999999995</v>
      </c>
      <c r="B20" s="25" t="s">
        <v>35</v>
      </c>
      <c r="I20" s="59"/>
      <c r="J20" s="38"/>
      <c r="K20" s="33"/>
      <c r="Q20" s="69" t="s">
        <v>113</v>
      </c>
      <c r="R20" s="71" t="s">
        <v>109</v>
      </c>
      <c r="T20" s="76">
        <f t="shared" si="24"/>
        <v>0.94799999999999995</v>
      </c>
      <c r="AB20" s="62" t="str">
        <f t="shared" si="25"/>
        <v>25th</v>
      </c>
      <c r="AC20" s="63" t="str">
        <f t="shared" si="22"/>
        <v>Y</v>
      </c>
      <c r="AE20" s="68">
        <f t="shared" si="23"/>
        <v>0.94799999999999995</v>
      </c>
    </row>
    <row r="21" spans="1:31" x14ac:dyDescent="0.3">
      <c r="A21" s="37"/>
      <c r="B21" s="37"/>
      <c r="C21" s="25"/>
      <c r="J21" s="38"/>
      <c r="K21" s="33"/>
    </row>
    <row r="22" spans="1:31" x14ac:dyDescent="0.3">
      <c r="A22" s="20" t="s">
        <v>39</v>
      </c>
      <c r="B22" s="20"/>
    </row>
    <row r="23" spans="1:31" x14ac:dyDescent="0.3">
      <c r="A23" s="31" t="s">
        <v>38</v>
      </c>
      <c r="B23" s="31"/>
    </row>
    <row r="24" spans="1:31" x14ac:dyDescent="0.3">
      <c r="A24" s="31" t="str">
        <f>"and 2:00 a.m. shall be paid an additional "&amp;TEXT(T24,"$#.00")&amp;" per hour for all hours worked on such shift."</f>
        <v>and 2:00 a.m. shall be paid an additional $1.36 per hour for all hours worked on such shift.</v>
      </c>
      <c r="B24" s="31"/>
      <c r="Q24" s="77" t="s">
        <v>100</v>
      </c>
      <c r="R24" s="71" t="s">
        <v>109</v>
      </c>
      <c r="T24" s="71">
        <f>ROUND(('June 1 2020'!R24+0.1)*PercIncr2021,2)</f>
        <v>1.36</v>
      </c>
      <c r="AB24" s="62" t="str">
        <f t="shared" ref="AB24:AB25" si="26">Q24</f>
        <v>CVTAM1</v>
      </c>
      <c r="AC24" s="63" t="str">
        <f t="shared" ref="AC24:AC25" si="27">R24</f>
        <v>Y</v>
      </c>
      <c r="AE24" s="68">
        <f t="shared" ref="AE24:AE25" si="28">ROUND(T24,3)</f>
        <v>1.36</v>
      </c>
    </row>
    <row r="25" spans="1:31" x14ac:dyDescent="0.3">
      <c r="Q25" s="77" t="s">
        <v>98</v>
      </c>
      <c r="R25" s="71" t="s">
        <v>109</v>
      </c>
      <c r="T25" s="71">
        <f>T24</f>
        <v>1.36</v>
      </c>
      <c r="AB25" s="62" t="str">
        <f t="shared" si="26"/>
        <v>CVTEVE</v>
      </c>
      <c r="AC25" s="63" t="str">
        <f t="shared" si="27"/>
        <v>Y</v>
      </c>
      <c r="AE25" s="68">
        <f t="shared" si="28"/>
        <v>1.36</v>
      </c>
    </row>
  </sheetData>
  <pageMargins left="0.75" right="0.75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04B8-C397-4D45-92B7-1C44FED4A856}">
  <sheetPr>
    <pageSetUpPr fitToPage="1"/>
  </sheetPr>
  <dimension ref="A1:AK26"/>
  <sheetViews>
    <sheetView showGridLines="0" workbookViewId="0">
      <selection sqref="A1:XFD1"/>
    </sheetView>
  </sheetViews>
  <sheetFormatPr defaultColWidth="9.109375" defaultRowHeight="14.4" x14ac:dyDescent="0.3"/>
  <cols>
    <col min="1" max="2" width="7" style="23" customWidth="1"/>
    <col min="3" max="3" width="32.88671875" style="23" customWidth="1"/>
    <col min="4" max="4" width="5.88671875" style="23" bestFit="1" customWidth="1"/>
    <col min="5" max="5" width="5" style="23" hidden="1" customWidth="1"/>
    <col min="6" max="6" width="6.44140625" style="23" bestFit="1" customWidth="1"/>
    <col min="7" max="7" width="8.44140625" style="23" bestFit="1" customWidth="1"/>
    <col min="8" max="8" width="9" style="23" customWidth="1"/>
    <col min="9" max="9" width="8.5546875" style="23" bestFit="1" customWidth="1"/>
    <col min="10" max="14" width="7.5546875" style="23" bestFit="1" customWidth="1"/>
    <col min="15" max="15" width="1.5546875" style="23" bestFit="1" customWidth="1"/>
    <col min="16" max="16" width="12.109375" style="69" hidden="1" customWidth="1"/>
    <col min="17" max="17" width="8.109375" style="69" hidden="1" customWidth="1"/>
    <col min="18" max="26" width="0" style="71" hidden="1" customWidth="1"/>
    <col min="27" max="27" width="0" style="23" hidden="1" customWidth="1"/>
    <col min="28" max="28" width="0" style="62" hidden="1" customWidth="1"/>
    <col min="29" max="30" width="0" style="63" hidden="1" customWidth="1"/>
    <col min="31" max="37" width="0" style="62" hidden="1" customWidth="1"/>
    <col min="38" max="16384" width="9.109375" style="23"/>
  </cols>
  <sheetData>
    <row r="1" spans="1:37" s="79" customFormat="1" ht="15.6" x14ac:dyDescent="0.3">
      <c r="A1" s="79" t="s">
        <v>127</v>
      </c>
      <c r="P1" s="80"/>
      <c r="Q1" s="80"/>
      <c r="R1" s="81"/>
      <c r="S1" s="81"/>
      <c r="T1" s="81"/>
      <c r="U1" s="81"/>
      <c r="V1" s="81"/>
      <c r="W1" s="81"/>
      <c r="X1" s="81"/>
      <c r="Y1" s="81"/>
      <c r="Z1" s="81"/>
      <c r="AB1" s="82"/>
      <c r="AC1" s="83"/>
      <c r="AD1" s="83"/>
      <c r="AE1" s="82"/>
      <c r="AF1" s="82"/>
      <c r="AG1" s="82"/>
      <c r="AH1" s="82"/>
      <c r="AI1" s="82"/>
      <c r="AJ1" s="82"/>
      <c r="AK1" s="82"/>
    </row>
    <row r="2" spans="1:37" x14ac:dyDescent="0.3">
      <c r="A2" s="22" t="s">
        <v>75</v>
      </c>
      <c r="B2" s="22"/>
      <c r="P2" s="69" t="s">
        <v>114</v>
      </c>
      <c r="Q2" s="70">
        <v>1.0249999999999999</v>
      </c>
    </row>
    <row r="3" spans="1:37" x14ac:dyDescent="0.3">
      <c r="A3" s="22" t="s">
        <v>118</v>
      </c>
      <c r="B3" s="22"/>
      <c r="L3" s="24"/>
      <c r="M3" s="24"/>
      <c r="P3" s="69" t="s">
        <v>115</v>
      </c>
      <c r="Q3" s="69" t="s">
        <v>116</v>
      </c>
    </row>
    <row r="4" spans="1:37" x14ac:dyDescent="0.3">
      <c r="A4" s="25" t="s">
        <v>2</v>
      </c>
      <c r="B4" s="25"/>
    </row>
    <row r="5" spans="1:37" x14ac:dyDescent="0.3">
      <c r="A5" s="25" t="s">
        <v>119</v>
      </c>
      <c r="B5" s="25"/>
      <c r="P5" s="78" t="s">
        <v>126</v>
      </c>
      <c r="AB5" s="62" t="s">
        <v>125</v>
      </c>
    </row>
    <row r="6" spans="1:37" x14ac:dyDescent="0.3">
      <c r="O6" s="23" t="s">
        <v>76</v>
      </c>
      <c r="T6" s="71">
        <v>4</v>
      </c>
      <c r="U6" s="71">
        <f>T6+1</f>
        <v>5</v>
      </c>
      <c r="V6" s="71">
        <f t="shared" ref="V6:Z6" si="0">U6+1</f>
        <v>6</v>
      </c>
      <c r="W6" s="71">
        <f t="shared" si="0"/>
        <v>7</v>
      </c>
      <c r="X6" s="71">
        <f t="shared" si="0"/>
        <v>8</v>
      </c>
      <c r="Y6" s="71">
        <f t="shared" si="0"/>
        <v>9</v>
      </c>
      <c r="Z6" s="71">
        <f t="shared" si="0"/>
        <v>10</v>
      </c>
    </row>
    <row r="7" spans="1:37" ht="29.4" thickBot="1" x14ac:dyDescent="0.35">
      <c r="A7" s="26" t="s">
        <v>3</v>
      </c>
      <c r="B7" s="26" t="s">
        <v>72</v>
      </c>
      <c r="C7" s="27" t="s">
        <v>4</v>
      </c>
      <c r="D7" s="26" t="s">
        <v>5</v>
      </c>
      <c r="E7" s="28" t="s">
        <v>6</v>
      </c>
      <c r="F7" s="26" t="s">
        <v>95</v>
      </c>
      <c r="G7" s="26" t="s">
        <v>97</v>
      </c>
      <c r="H7" s="26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Q7" s="72" t="s">
        <v>3</v>
      </c>
      <c r="R7" s="73" t="s">
        <v>108</v>
      </c>
      <c r="S7" s="73" t="s">
        <v>66</v>
      </c>
      <c r="T7" s="74" t="s">
        <v>9</v>
      </c>
      <c r="U7" s="73" t="s">
        <v>10</v>
      </c>
      <c r="V7" s="73" t="s">
        <v>11</v>
      </c>
      <c r="W7" s="73" t="s">
        <v>12</v>
      </c>
      <c r="X7" s="73" t="s">
        <v>13</v>
      </c>
      <c r="Y7" s="73" t="s">
        <v>14</v>
      </c>
      <c r="Z7" s="73" t="s">
        <v>15</v>
      </c>
      <c r="AB7" s="64" t="s">
        <v>3</v>
      </c>
      <c r="AC7" s="65" t="s">
        <v>108</v>
      </c>
      <c r="AD7" s="65" t="s">
        <v>66</v>
      </c>
      <c r="AE7" s="66" t="s">
        <v>9</v>
      </c>
      <c r="AF7" s="65" t="s">
        <v>10</v>
      </c>
      <c r="AG7" s="65" t="s">
        <v>11</v>
      </c>
      <c r="AH7" s="65" t="s">
        <v>12</v>
      </c>
      <c r="AI7" s="65" t="s">
        <v>13</v>
      </c>
      <c r="AJ7" s="65" t="s">
        <v>14</v>
      </c>
      <c r="AK7" s="65" t="s">
        <v>15</v>
      </c>
    </row>
    <row r="8" spans="1:37" x14ac:dyDescent="0.3">
      <c r="A8" s="23" t="s">
        <v>16</v>
      </c>
      <c r="B8" s="49" t="s">
        <v>73</v>
      </c>
      <c r="C8" s="23" t="s">
        <v>45</v>
      </c>
      <c r="D8" s="39" t="s">
        <v>17</v>
      </c>
      <c r="E8" s="39">
        <v>153</v>
      </c>
      <c r="F8" s="39">
        <v>3</v>
      </c>
      <c r="G8" s="39" t="s">
        <v>18</v>
      </c>
      <c r="H8" s="54">
        <f ca="1">T8</f>
        <v>18.574024999999995</v>
      </c>
      <c r="I8" s="54">
        <f t="shared" ref="I8:N8" ca="1" si="1">U8</f>
        <v>19.549824999999998</v>
      </c>
      <c r="J8" s="54">
        <f t="shared" ca="1" si="1"/>
        <v>20.527674999999999</v>
      </c>
      <c r="K8" s="54">
        <f t="shared" ca="1" si="1"/>
        <v>21.554724999999998</v>
      </c>
      <c r="L8" s="54">
        <f t="shared" ca="1" si="1"/>
        <v>22.631999999999998</v>
      </c>
      <c r="M8" s="54">
        <f t="shared" ca="1" si="1"/>
        <v>23.7636</v>
      </c>
      <c r="N8" s="54">
        <f t="shared" ca="1" si="1"/>
        <v>24.9526</v>
      </c>
      <c r="Q8" s="69" t="str">
        <f>A8</f>
        <v>02630C</v>
      </c>
      <c r="R8" s="71" t="s">
        <v>109</v>
      </c>
      <c r="S8" s="75" t="str">
        <f>B8</f>
        <v xml:space="preserve"> 02</v>
      </c>
      <c r="T8" s="76" cm="1">
        <f t="array" aca="1" ref="T8" ca="1">IF($R8="Y",VLOOKUP($Q8,INDIRECT($Q$3),T$6,0)*INDIRECT($P$2),VLOOKUP($Q8,INDIRECT($Q$3),T$6,0))</f>
        <v>18.574024999999995</v>
      </c>
      <c r="U8" s="76" cm="1">
        <f t="array" aca="1" ref="U8" ca="1">IF($R8="Y",VLOOKUP($Q8,INDIRECT($Q$3),U$6,0)*INDIRECT($P$2),VLOOKUP($Q8,INDIRECT($Q$3),U$6,0))</f>
        <v>19.549824999999998</v>
      </c>
      <c r="V8" s="76" cm="1">
        <f t="array" aca="1" ref="V8" ca="1">IF($R8="Y",VLOOKUP($Q8,INDIRECT($Q$3),V$6,0)*INDIRECT($P$2),VLOOKUP($Q8,INDIRECT($Q$3),V$6,0))</f>
        <v>20.527674999999999</v>
      </c>
      <c r="W8" s="76" cm="1">
        <f t="array" aca="1" ref="W8" ca="1">IF($R8="Y",VLOOKUP($Q8,INDIRECT($Q$3),W$6,0)*INDIRECT($P$2),VLOOKUP($Q8,INDIRECT($Q$3),W$6,0))</f>
        <v>21.554724999999998</v>
      </c>
      <c r="X8" s="76" cm="1">
        <f t="array" aca="1" ref="X8" ca="1">IF($R8="Y",VLOOKUP($Q8,INDIRECT($Q$3),X$6,0)*INDIRECT($P$2),VLOOKUP($Q8,INDIRECT($Q$3),X$6,0))</f>
        <v>22.631999999999998</v>
      </c>
      <c r="Y8" s="76" cm="1">
        <f t="array" aca="1" ref="Y8" ca="1">IF($R8="Y",VLOOKUP($Q8,INDIRECT($Q$3),Y$6,0)*INDIRECT($P$2),VLOOKUP($Q8,INDIRECT($Q$3),Y$6,0))</f>
        <v>23.7636</v>
      </c>
      <c r="Z8" s="76" cm="1">
        <f t="array" aca="1" ref="Z8" ca="1">IF($R8="Y",VLOOKUP($Q8,INDIRECT($Q$3),Z$6,0)*INDIRECT($P$2),VLOOKUP($Q8,INDIRECT($Q$3),Z$6,0))</f>
        <v>24.9526</v>
      </c>
      <c r="AB8" s="62" t="str">
        <f>A8</f>
        <v>02630C</v>
      </c>
      <c r="AC8" s="63" t="str">
        <f>R8</f>
        <v>Y</v>
      </c>
      <c r="AD8" s="67" t="str">
        <f>B8</f>
        <v xml:space="preserve"> 02</v>
      </c>
      <c r="AE8" s="68">
        <f ca="1">ROUND(T8,3)</f>
        <v>18.574000000000002</v>
      </c>
      <c r="AF8" s="68">
        <f ca="1">ROUND(U8,3)</f>
        <v>19.55</v>
      </c>
      <c r="AG8" s="68">
        <f t="shared" ref="AG8:AK10" ca="1" si="2">ROUND(V8,3)</f>
        <v>20.527999999999999</v>
      </c>
      <c r="AH8" s="68">
        <f t="shared" ca="1" si="2"/>
        <v>21.555</v>
      </c>
      <c r="AI8" s="68">
        <f t="shared" ca="1" si="2"/>
        <v>22.632000000000001</v>
      </c>
      <c r="AJ8" s="68">
        <f t="shared" ca="1" si="2"/>
        <v>23.763999999999999</v>
      </c>
      <c r="AK8" s="68">
        <f t="shared" ca="1" si="2"/>
        <v>24.952999999999999</v>
      </c>
    </row>
    <row r="9" spans="1:37" x14ac:dyDescent="0.3">
      <c r="A9" s="23" t="s">
        <v>19</v>
      </c>
      <c r="B9" s="49" t="s">
        <v>74</v>
      </c>
      <c r="C9" s="23" t="s">
        <v>20</v>
      </c>
      <c r="D9" s="39" t="s">
        <v>17</v>
      </c>
      <c r="E9" s="39">
        <v>168</v>
      </c>
      <c r="F9" s="39">
        <v>3</v>
      </c>
      <c r="G9" s="39" t="s">
        <v>18</v>
      </c>
      <c r="H9" s="54">
        <f t="shared" ref="H9:H10" ca="1" si="3">T9</f>
        <v>18.961474999999997</v>
      </c>
      <c r="I9" s="54">
        <f t="shared" ref="I9:I10" ca="1" si="4">U9</f>
        <v>19.938300000000002</v>
      </c>
      <c r="J9" s="54">
        <f t="shared" ref="J9:J10" ca="1" si="5">V9</f>
        <v>20.917174999999997</v>
      </c>
      <c r="K9" s="54">
        <f t="shared" ref="K9:K10" ca="1" si="6">W9</f>
        <v>21.943200000000001</v>
      </c>
      <c r="L9" s="54">
        <f t="shared" ref="L9:L10" ca="1" si="7">X9</f>
        <v>23.020474999999998</v>
      </c>
      <c r="M9" s="54">
        <f t="shared" ref="M9:M10" ca="1" si="8">Y9</f>
        <v>24.152074999999996</v>
      </c>
      <c r="N9" s="54">
        <f t="shared" ref="N9:N10" ca="1" si="9">Z9</f>
        <v>25.341074999999996</v>
      </c>
      <c r="Q9" s="69" t="str">
        <f t="shared" ref="Q9:Q10" si="10">A9</f>
        <v>05355C</v>
      </c>
      <c r="R9" s="71" t="s">
        <v>109</v>
      </c>
      <c r="S9" s="75" t="str">
        <f t="shared" ref="S9:S10" si="11">B9</f>
        <v xml:space="preserve"> 04</v>
      </c>
      <c r="T9" s="76" cm="1">
        <f t="array" aca="1" ref="T9" ca="1">IF($R9="Y",VLOOKUP($Q9,INDIRECT($Q$3),T$6,0)*INDIRECT($P$2),VLOOKUP($Q9,INDIRECT($Q$3),T$6,0))</f>
        <v>18.961474999999997</v>
      </c>
      <c r="U9" s="76" cm="1">
        <f t="array" aca="1" ref="U9" ca="1">IF($R9="Y",VLOOKUP($Q9,INDIRECT($Q$3),U$6,0)*INDIRECT($P$2),VLOOKUP($Q9,INDIRECT($Q$3),U$6,0))</f>
        <v>19.938300000000002</v>
      </c>
      <c r="V9" s="76" cm="1">
        <f t="array" aca="1" ref="V9" ca="1">IF($R9="Y",VLOOKUP($Q9,INDIRECT($Q$3),V$6,0)*INDIRECT($P$2),VLOOKUP($Q9,INDIRECT($Q$3),V$6,0))</f>
        <v>20.917174999999997</v>
      </c>
      <c r="W9" s="76" cm="1">
        <f t="array" aca="1" ref="W9" ca="1">IF($R9="Y",VLOOKUP($Q9,INDIRECT($Q$3),W$6,0)*INDIRECT($P$2),VLOOKUP($Q9,INDIRECT($Q$3),W$6,0))</f>
        <v>21.943200000000001</v>
      </c>
      <c r="X9" s="76" cm="1">
        <f t="array" aca="1" ref="X9" ca="1">IF($R9="Y",VLOOKUP($Q9,INDIRECT($Q$3),X$6,0)*INDIRECT($P$2),VLOOKUP($Q9,INDIRECT($Q$3),X$6,0))</f>
        <v>23.020474999999998</v>
      </c>
      <c r="Y9" s="76" cm="1">
        <f t="array" aca="1" ref="Y9" ca="1">IF($R9="Y",VLOOKUP($Q9,INDIRECT($Q$3),Y$6,0)*INDIRECT($P$2),VLOOKUP($Q9,INDIRECT($Q$3),Y$6,0))</f>
        <v>24.152074999999996</v>
      </c>
      <c r="Z9" s="76" cm="1">
        <f t="array" aca="1" ref="Z9" ca="1">IF($R9="Y",VLOOKUP($Q9,INDIRECT($Q$3),Z$6,0)*INDIRECT($P$2),VLOOKUP($Q9,INDIRECT($Q$3),Z$6,0))</f>
        <v>25.341074999999996</v>
      </c>
      <c r="AB9" s="62" t="str">
        <f t="shared" ref="AB9:AB10" si="12">A9</f>
        <v>05355C</v>
      </c>
      <c r="AC9" s="63" t="str">
        <f t="shared" ref="AC9:AC10" si="13">R9</f>
        <v>Y</v>
      </c>
      <c r="AD9" s="67" t="str">
        <f t="shared" ref="AD9:AD10" si="14">B9</f>
        <v xml:space="preserve"> 04</v>
      </c>
      <c r="AE9" s="68">
        <f t="shared" ref="AE9:AF10" ca="1" si="15">ROUND(T9,3)</f>
        <v>18.960999999999999</v>
      </c>
      <c r="AF9" s="68">
        <f t="shared" ca="1" si="15"/>
        <v>19.937999999999999</v>
      </c>
      <c r="AG9" s="68">
        <f t="shared" ca="1" si="2"/>
        <v>20.917000000000002</v>
      </c>
      <c r="AH9" s="68">
        <f t="shared" ca="1" si="2"/>
        <v>21.943000000000001</v>
      </c>
      <c r="AI9" s="68">
        <f t="shared" ca="1" si="2"/>
        <v>23.02</v>
      </c>
      <c r="AJ9" s="68">
        <f t="shared" ca="1" si="2"/>
        <v>24.152000000000001</v>
      </c>
      <c r="AK9" s="68">
        <f t="shared" ca="1" si="2"/>
        <v>25.341000000000001</v>
      </c>
    </row>
    <row r="10" spans="1:37" x14ac:dyDescent="0.3">
      <c r="A10" s="23" t="s">
        <v>21</v>
      </c>
      <c r="B10" s="49" t="s">
        <v>74</v>
      </c>
      <c r="C10" s="23" t="s">
        <v>22</v>
      </c>
      <c r="D10" s="39" t="s">
        <v>17</v>
      </c>
      <c r="E10" s="39">
        <v>168</v>
      </c>
      <c r="F10" s="39">
        <v>3</v>
      </c>
      <c r="G10" s="39" t="s">
        <v>18</v>
      </c>
      <c r="H10" s="54">
        <f t="shared" ca="1" si="3"/>
        <v>18.961474999999997</v>
      </c>
      <c r="I10" s="54">
        <f t="shared" ca="1" si="4"/>
        <v>19.938300000000002</v>
      </c>
      <c r="J10" s="54">
        <f t="shared" ca="1" si="5"/>
        <v>20.917174999999997</v>
      </c>
      <c r="K10" s="54">
        <f t="shared" ca="1" si="6"/>
        <v>21.943200000000001</v>
      </c>
      <c r="L10" s="54">
        <f t="shared" ca="1" si="7"/>
        <v>23.020474999999998</v>
      </c>
      <c r="M10" s="54">
        <f t="shared" ca="1" si="8"/>
        <v>24.152074999999996</v>
      </c>
      <c r="N10" s="54">
        <f t="shared" ca="1" si="9"/>
        <v>25.341074999999996</v>
      </c>
      <c r="Q10" s="69" t="str">
        <f t="shared" si="10"/>
        <v>04185C</v>
      </c>
      <c r="R10" s="71" t="s">
        <v>109</v>
      </c>
      <c r="S10" s="75" t="str">
        <f t="shared" si="11"/>
        <v xml:space="preserve"> 04</v>
      </c>
      <c r="T10" s="76" cm="1">
        <f t="array" aca="1" ref="T10" ca="1">IF($R10="Y",VLOOKUP($Q10,INDIRECT($Q$3),T$6,0)*INDIRECT($P$2),VLOOKUP($Q10,INDIRECT($Q$3),T$6,0))</f>
        <v>18.961474999999997</v>
      </c>
      <c r="U10" s="76" cm="1">
        <f t="array" aca="1" ref="U10" ca="1">IF($R10="Y",VLOOKUP($Q10,INDIRECT($Q$3),U$6,0)*INDIRECT($P$2),VLOOKUP($Q10,INDIRECT($Q$3),U$6,0))</f>
        <v>19.938300000000002</v>
      </c>
      <c r="V10" s="76" cm="1">
        <f t="array" aca="1" ref="V10" ca="1">IF($R10="Y",VLOOKUP($Q10,INDIRECT($Q$3),V$6,0)*INDIRECT($P$2),VLOOKUP($Q10,INDIRECT($Q$3),V$6,0))</f>
        <v>20.917174999999997</v>
      </c>
      <c r="W10" s="76" cm="1">
        <f t="array" aca="1" ref="W10" ca="1">IF($R10="Y",VLOOKUP($Q10,INDIRECT($Q$3),W$6,0)*INDIRECT($P$2),VLOOKUP($Q10,INDIRECT($Q$3),W$6,0))</f>
        <v>21.943200000000001</v>
      </c>
      <c r="X10" s="76" cm="1">
        <f t="array" aca="1" ref="X10" ca="1">IF($R10="Y",VLOOKUP($Q10,INDIRECT($Q$3),X$6,0)*INDIRECT($P$2),VLOOKUP($Q10,INDIRECT($Q$3),X$6,0))</f>
        <v>23.020474999999998</v>
      </c>
      <c r="Y10" s="76" cm="1">
        <f t="array" aca="1" ref="Y10" ca="1">IF($R10="Y",VLOOKUP($Q10,INDIRECT($Q$3),Y$6,0)*INDIRECT($P$2),VLOOKUP($Q10,INDIRECT($Q$3),Y$6,0))</f>
        <v>24.152074999999996</v>
      </c>
      <c r="Z10" s="76" cm="1">
        <f t="array" aca="1" ref="Z10" ca="1">IF($R10="Y",VLOOKUP($Q10,INDIRECT($Q$3),Z$6,0)*INDIRECT($P$2),VLOOKUP($Q10,INDIRECT($Q$3),Z$6,0))</f>
        <v>25.341074999999996</v>
      </c>
      <c r="AB10" s="62" t="str">
        <f t="shared" si="12"/>
        <v>04185C</v>
      </c>
      <c r="AC10" s="63" t="str">
        <f t="shared" si="13"/>
        <v>Y</v>
      </c>
      <c r="AD10" s="67" t="str">
        <f t="shared" si="14"/>
        <v xml:space="preserve"> 04</v>
      </c>
      <c r="AE10" s="68">
        <f t="shared" ca="1" si="15"/>
        <v>18.960999999999999</v>
      </c>
      <c r="AF10" s="68">
        <f t="shared" ca="1" si="15"/>
        <v>19.937999999999999</v>
      </c>
      <c r="AG10" s="68">
        <f t="shared" ca="1" si="2"/>
        <v>20.917000000000002</v>
      </c>
      <c r="AH10" s="68">
        <f t="shared" ca="1" si="2"/>
        <v>21.943000000000001</v>
      </c>
      <c r="AI10" s="68">
        <f t="shared" ca="1" si="2"/>
        <v>23.02</v>
      </c>
      <c r="AJ10" s="68">
        <f t="shared" ca="1" si="2"/>
        <v>24.152000000000001</v>
      </c>
      <c r="AK10" s="68">
        <f t="shared" ca="1" si="2"/>
        <v>25.341000000000001</v>
      </c>
    </row>
    <row r="11" spans="1:37" x14ac:dyDescent="0.3">
      <c r="H11" s="60"/>
      <c r="I11" s="60"/>
      <c r="J11" s="60"/>
      <c r="K11" s="60"/>
      <c r="L11" s="60"/>
      <c r="M11" s="60"/>
      <c r="N11" s="60"/>
    </row>
    <row r="12" spans="1:37" x14ac:dyDescent="0.3">
      <c r="A12" s="20" t="s">
        <v>23</v>
      </c>
      <c r="B12" s="20"/>
      <c r="H12" s="61"/>
      <c r="I12" s="61"/>
      <c r="J12" s="61"/>
      <c r="K12" s="61"/>
      <c r="L12" s="61"/>
      <c r="M12" s="61"/>
      <c r="N12" s="61"/>
    </row>
    <row r="13" spans="1:37" x14ac:dyDescent="0.3">
      <c r="A13" s="31" t="str">
        <f ca="1">"When an employee is assigned as a lead worker, the employee shall receive an additional "&amp;TEXT(T13,"$#,###.000")&amp;" oer hour for all hours worked."</f>
        <v>When an employee is assigned as a lead worker, the employee shall receive an additional $2.263 oer hour for all hours worked.</v>
      </c>
      <c r="B13" s="31"/>
      <c r="C13" s="32"/>
      <c r="D13" s="33"/>
      <c r="E13" s="34"/>
      <c r="F13" s="33"/>
      <c r="G13" s="33"/>
      <c r="H13" s="33"/>
      <c r="I13" s="33"/>
      <c r="J13" s="33"/>
      <c r="K13" s="33"/>
      <c r="Q13" s="69" t="s">
        <v>102</v>
      </c>
      <c r="R13" s="71" t="s">
        <v>109</v>
      </c>
      <c r="T13" s="76" cm="1">
        <f t="array" aca="1" ref="T13" ca="1">IF($R13="Y",VLOOKUP($Q13,INDIRECT($Q$3),T$6,0)*INDIRECT($P$2),VLOOKUP($Q13,INDIRECT($Q$3),T$6,0))</f>
        <v>2.2631999999999999</v>
      </c>
      <c r="AB13" s="62" t="str">
        <f>Q13</f>
        <v>CVTLDS</v>
      </c>
      <c r="AC13" s="63" t="str">
        <f>R13</f>
        <v>Y</v>
      </c>
      <c r="AE13" s="68">
        <f t="shared" ref="AE13" ca="1" si="16">ROUND(T13,3)</f>
        <v>2.2629999999999999</v>
      </c>
    </row>
    <row r="14" spans="1:37" x14ac:dyDescent="0.3">
      <c r="A14" s="31"/>
      <c r="B14" s="31"/>
      <c r="C14" s="32"/>
      <c r="D14" s="32"/>
      <c r="E14" s="36"/>
      <c r="F14" s="32"/>
      <c r="G14" s="32"/>
      <c r="H14" s="32"/>
      <c r="I14" s="32"/>
      <c r="J14" s="32"/>
      <c r="K14" s="32"/>
      <c r="L14" s="20"/>
    </row>
    <row r="15" spans="1:37" x14ac:dyDescent="0.3">
      <c r="A15" s="21" t="s">
        <v>29</v>
      </c>
      <c r="B15" s="21"/>
      <c r="C15" s="32"/>
      <c r="D15" s="32"/>
      <c r="E15" s="36"/>
      <c r="F15" s="32"/>
      <c r="G15" s="32"/>
      <c r="H15" s="32"/>
      <c r="I15" s="32"/>
      <c r="J15" s="32"/>
      <c r="K15" s="32"/>
      <c r="L15" s="20"/>
    </row>
    <row r="16" spans="1:37" x14ac:dyDescent="0.3">
      <c r="A16" s="31" t="s">
        <v>41</v>
      </c>
      <c r="B16" s="31"/>
      <c r="C16" s="33"/>
      <c r="D16" s="33"/>
      <c r="E16" s="34"/>
      <c r="F16" s="33"/>
      <c r="G16" s="33"/>
      <c r="H16" s="33"/>
      <c r="I16" s="33"/>
      <c r="J16" s="33"/>
      <c r="K16" s="33"/>
    </row>
    <row r="17" spans="1:31" x14ac:dyDescent="0.3">
      <c r="A17" s="31" t="s">
        <v>42</v>
      </c>
      <c r="B17" s="31"/>
      <c r="C17" s="33"/>
      <c r="D17" s="33"/>
      <c r="E17" s="34"/>
      <c r="F17" s="33"/>
      <c r="G17" s="33"/>
      <c r="H17" s="33"/>
      <c r="I17" s="33"/>
      <c r="J17" s="33"/>
      <c r="K17" s="33"/>
    </row>
    <row r="18" spans="1:31" x14ac:dyDescent="0.3">
      <c r="A18" s="50">
        <f ca="1">T18</f>
        <v>0.53402499999999997</v>
      </c>
      <c r="B18" s="25" t="s">
        <v>32</v>
      </c>
      <c r="I18" s="59"/>
      <c r="J18" s="38"/>
      <c r="K18" s="33"/>
      <c r="Q18" s="69" t="s">
        <v>110</v>
      </c>
      <c r="R18" s="71" t="s">
        <v>109</v>
      </c>
      <c r="T18" s="76" cm="1">
        <f t="array" aca="1" ref="T18" ca="1">IF($R18="Y",VLOOKUP($Q18,INDIRECT($Q$3),T$6,0)*INDIRECT($P$2),VLOOKUP($Q18,INDIRECT($Q$3),T$6,0))</f>
        <v>0.53402499999999997</v>
      </c>
      <c r="AB18" s="62" t="str">
        <f>Q18</f>
        <v>10th</v>
      </c>
      <c r="AC18" s="63" t="str">
        <f t="shared" ref="AC18:AC21" si="17">R18</f>
        <v>Y</v>
      </c>
      <c r="AE18" s="68">
        <f t="shared" ref="AE18:AE21" ca="1" si="18">ROUND(T18,3)</f>
        <v>0.53400000000000003</v>
      </c>
    </row>
    <row r="19" spans="1:31" x14ac:dyDescent="0.3">
      <c r="A19" s="50">
        <f t="shared" ref="A19:A21" ca="1" si="19">T19</f>
        <v>0.73594999999999988</v>
      </c>
      <c r="B19" s="25" t="s">
        <v>33</v>
      </c>
      <c r="I19" s="59"/>
      <c r="J19" s="38"/>
      <c r="K19" s="33"/>
      <c r="Q19" s="69" t="s">
        <v>111</v>
      </c>
      <c r="R19" s="71" t="s">
        <v>109</v>
      </c>
      <c r="T19" s="76" cm="1">
        <f t="array" aca="1" ref="T19" ca="1">IF($R19="Y",VLOOKUP($Q19,INDIRECT($Q$3),T$6,0)*INDIRECT($P$2),VLOOKUP($Q19,INDIRECT($Q$3),T$6,0))</f>
        <v>0.73594999999999988</v>
      </c>
      <c r="AB19" s="62" t="str">
        <f t="shared" ref="AB19:AB21" si="20">Q19</f>
        <v>15th</v>
      </c>
      <c r="AC19" s="63" t="str">
        <f t="shared" si="17"/>
        <v>Y</v>
      </c>
      <c r="AE19" s="68">
        <f t="shared" ca="1" si="18"/>
        <v>0.73599999999999999</v>
      </c>
    </row>
    <row r="20" spans="1:31" x14ac:dyDescent="0.3">
      <c r="A20" s="50">
        <f t="shared" ca="1" si="19"/>
        <v>0.81692500000000001</v>
      </c>
      <c r="B20" s="25" t="s">
        <v>34</v>
      </c>
      <c r="I20" s="59"/>
      <c r="J20" s="38"/>
      <c r="K20" s="33"/>
      <c r="Q20" s="69" t="s">
        <v>112</v>
      </c>
      <c r="R20" s="71" t="s">
        <v>109</v>
      </c>
      <c r="T20" s="76" cm="1">
        <f t="array" aca="1" ref="T20" ca="1">IF($R20="Y",VLOOKUP($Q20,INDIRECT($Q$3),T$6,0)*INDIRECT($P$2),VLOOKUP($Q20,INDIRECT($Q$3),T$6,0))</f>
        <v>0.81692500000000001</v>
      </c>
      <c r="AB20" s="62" t="str">
        <f t="shared" si="20"/>
        <v>20th</v>
      </c>
      <c r="AC20" s="63" t="str">
        <f t="shared" si="17"/>
        <v>Y</v>
      </c>
      <c r="AE20" s="68">
        <f t="shared" ca="1" si="18"/>
        <v>0.81699999999999995</v>
      </c>
    </row>
    <row r="21" spans="1:31" x14ac:dyDescent="0.3">
      <c r="A21" s="50">
        <f t="shared" ca="1" si="19"/>
        <v>0.9716999999999999</v>
      </c>
      <c r="B21" s="25" t="s">
        <v>35</v>
      </c>
      <c r="I21" s="59"/>
      <c r="J21" s="38"/>
      <c r="K21" s="33"/>
      <c r="Q21" s="69" t="s">
        <v>113</v>
      </c>
      <c r="R21" s="71" t="s">
        <v>109</v>
      </c>
      <c r="T21" s="76" cm="1">
        <f t="array" aca="1" ref="T21" ca="1">IF($R21="Y",VLOOKUP($Q21,INDIRECT($Q$3),T$6,0)*INDIRECT($P$2),VLOOKUP($Q21,INDIRECT($Q$3),T$6,0))</f>
        <v>0.9716999999999999</v>
      </c>
      <c r="AB21" s="62" t="str">
        <f t="shared" si="20"/>
        <v>25th</v>
      </c>
      <c r="AC21" s="63" t="str">
        <f t="shared" si="17"/>
        <v>Y</v>
      </c>
      <c r="AE21" s="68">
        <f t="shared" ca="1" si="18"/>
        <v>0.97199999999999998</v>
      </c>
    </row>
    <row r="22" spans="1:31" x14ac:dyDescent="0.3">
      <c r="A22" s="37"/>
      <c r="B22" s="37"/>
      <c r="C22" s="25"/>
      <c r="J22" s="38"/>
      <c r="K22" s="33"/>
    </row>
    <row r="23" spans="1:31" x14ac:dyDescent="0.3">
      <c r="A23" s="20" t="s">
        <v>39</v>
      </c>
      <c r="B23" s="20"/>
    </row>
    <row r="24" spans="1:31" x14ac:dyDescent="0.3">
      <c r="A24" s="31" t="s">
        <v>38</v>
      </c>
      <c r="B24" s="31"/>
    </row>
    <row r="25" spans="1:31" x14ac:dyDescent="0.3">
      <c r="A25" s="31" t="str">
        <f ca="1">"and 2:00 a.m. shall be paid an additional "&amp;TEXT(T25,"$#.000")&amp;" per hour for all hours worked on such shift."</f>
        <v>and 2:00 a.m. shall be paid an additional $1.394 per hour for all hours worked on such shift.</v>
      </c>
      <c r="B25" s="31"/>
      <c r="Q25" s="77" t="s">
        <v>100</v>
      </c>
      <c r="R25" s="71" t="s">
        <v>109</v>
      </c>
      <c r="T25" s="76" cm="1">
        <f t="array" aca="1" ref="T25" ca="1">IF($R25="Y",VLOOKUP($Q25,INDIRECT($Q$3),T$6,0)*INDIRECT($P$2),VLOOKUP($Q25,INDIRECT($Q$3),T$6,0))</f>
        <v>1.3939999999999999</v>
      </c>
      <c r="AB25" s="62" t="str">
        <f t="shared" ref="AB25:AC26" si="21">Q25</f>
        <v>CVTAM1</v>
      </c>
      <c r="AC25" s="63" t="str">
        <f t="shared" si="21"/>
        <v>Y</v>
      </c>
      <c r="AE25" s="68">
        <f t="shared" ref="AE25:AE26" ca="1" si="22">ROUND(T25,3)</f>
        <v>1.3939999999999999</v>
      </c>
    </row>
    <row r="26" spans="1:31" x14ac:dyDescent="0.3">
      <c r="Q26" s="77" t="s">
        <v>98</v>
      </c>
      <c r="R26" s="71" t="s">
        <v>109</v>
      </c>
      <c r="T26" s="76" cm="1">
        <f t="array" aca="1" ref="T26" ca="1">IF($R26="Y",VLOOKUP($Q26,INDIRECT($Q$3),T$6,0)*INDIRECT($P$2),VLOOKUP($Q26,INDIRECT($Q$3),T$6,0))</f>
        <v>1.3939999999999999</v>
      </c>
      <c r="AB26" s="62" t="str">
        <f t="shared" si="21"/>
        <v>CVTEVE</v>
      </c>
      <c r="AC26" s="63" t="str">
        <f t="shared" si="21"/>
        <v>Y</v>
      </c>
      <c r="AE26" s="68">
        <f t="shared" ca="1" si="22"/>
        <v>1.3939999999999999</v>
      </c>
    </row>
  </sheetData>
  <sheetProtection sheet="1" objects="1" scenarios="1"/>
  <pageMargins left="0.75" right="0.75" top="1" bottom="1" header="0.5" footer="0.5"/>
  <pageSetup scale="99" fitToHeight="0" orientation="landscape" r:id="rId1"/>
  <headerFooter alignWithMargins="0">
    <oddFooter>&amp;L&amp;8Last Updated:  &amp;D&amp;R&amp;8Page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January 2017</vt:lpstr>
      <vt:lpstr>Proof sal grd etc</vt:lpstr>
      <vt:lpstr>January 2018</vt:lpstr>
      <vt:lpstr>May 2018</vt:lpstr>
      <vt:lpstr>September 30 2018</vt:lpstr>
      <vt:lpstr>May 1 2019</vt:lpstr>
      <vt:lpstr>June 1 2020</vt:lpstr>
      <vt:lpstr>June 1 2021</vt:lpstr>
      <vt:lpstr>1-1-2022</vt:lpstr>
      <vt:lpstr>1-1-2023</vt:lpstr>
      <vt:lpstr>1-1-2024</vt:lpstr>
      <vt:lpstr>1-1-2025</vt:lpstr>
      <vt:lpstr>1-1-2026</vt:lpstr>
      <vt:lpstr>1-1-2027</vt:lpstr>
      <vt:lpstr>Notes</vt:lpstr>
      <vt:lpstr>Data2021</vt:lpstr>
      <vt:lpstr>Data2022</vt:lpstr>
      <vt:lpstr>Data2023</vt:lpstr>
      <vt:lpstr>Data2024</vt:lpstr>
      <vt:lpstr>Data2025</vt:lpstr>
      <vt:lpstr>Data2026</vt:lpstr>
      <vt:lpstr>PercIncr2020</vt:lpstr>
      <vt:lpstr>PercIncr2021</vt:lpstr>
      <vt:lpstr>PercIncr2022</vt:lpstr>
      <vt:lpstr>PercIncr2023</vt:lpstr>
      <vt:lpstr>PercIncr2024</vt:lpstr>
      <vt:lpstr>PercIncr2025</vt:lpstr>
      <vt:lpstr>PercIncr2026</vt:lpstr>
      <vt:lpstr>PercIncr2027</vt:lpstr>
      <vt:lpstr>'January 2018'!Print_Area</vt:lpstr>
      <vt:lpstr>'May 2018'!Print_Area</vt:lpstr>
      <vt:lpstr>'September 30 2018'!Print_Area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Minneapolis Human Resources;Classification &amp; Compensation</dc:creator>
  <cp:lastModifiedBy>Stupeck, Marie (she/her/hers)</cp:lastModifiedBy>
  <cp:lastPrinted>2024-12-16T19:43:53Z</cp:lastPrinted>
  <dcterms:created xsi:type="dcterms:W3CDTF">2018-08-28T16:10:43Z</dcterms:created>
  <dcterms:modified xsi:type="dcterms:W3CDTF">2025-12-15T16:37:09Z</dcterms:modified>
</cp:coreProperties>
</file>