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Human Resources\LABOR\1 (CAW) AFSCME Water Maint\Salary Schedules\"/>
    </mc:Choice>
  </mc:AlternateContent>
  <xr:revisionPtr revIDLastSave="0" documentId="13_ncr:1_{B1BB6C8C-9D79-4B55-8BD1-D728909D58B5}" xr6:coauthVersionLast="47" xr6:coauthVersionMax="47" xr10:uidLastSave="{00000000-0000-0000-0000-000000000000}"/>
  <bookViews>
    <workbookView xWindow="-120" yWindow="-120" windowWidth="29040" windowHeight="15720" firstSheet="8" activeTab="9" xr2:uid="{00000000-000D-0000-FFFF-FFFF00000000}"/>
  </bookViews>
  <sheets>
    <sheet name="February 2018" sheetId="1" state="hidden" r:id="rId1"/>
    <sheet name="October 2019" sheetId="2" state="hidden" r:id="rId2"/>
    <sheet name="May 2020" sheetId="4" state="hidden" r:id="rId3"/>
    <sheet name="March 2021" sheetId="6" state="hidden" r:id="rId4"/>
    <sheet name="March 2022" sheetId="7" state="hidden" r:id="rId5"/>
    <sheet name="January 2023" sheetId="8" state="hidden" r:id="rId6"/>
    <sheet name="January 2024" sheetId="9" state="hidden" r:id="rId7"/>
    <sheet name="January 2025" sheetId="10" state="hidden" r:id="rId8"/>
    <sheet name="November 2025" sheetId="11" r:id="rId9"/>
    <sheet name="January 2026 " sheetId="13" r:id="rId10"/>
    <sheet name="January 2027" sheetId="14" r:id="rId11"/>
    <sheet name="January 2028" sheetId="15" r:id="rId12"/>
    <sheet name="Notes" sheetId="3" state="hidden" r:id="rId13"/>
  </sheets>
  <externalReferences>
    <externalReference r:id="rId14"/>
  </externalReferences>
  <definedNames>
    <definedName name="BaseIncPerc26" localSheetId="11">'January 2028'!$Q$2</definedName>
    <definedName name="BaseIncPerc26">'January 2027'!$Q$2</definedName>
    <definedName name="BaseIncPerc27" localSheetId="11">'January 2028'!$Q$2</definedName>
    <definedName name="BaseIncPerc27">'January 2027'!$Q$2</definedName>
    <definedName name="BaseIncrPerc2020">'May 2020'!$P$1</definedName>
    <definedName name="BaseIncrPerc2021">'March 2021'!$P$1</definedName>
    <definedName name="BaseIncrPerc2022">'March 2022'!$P$1</definedName>
    <definedName name="BaseIncrPerc2023">'January 2023'!$P$2</definedName>
    <definedName name="BaseIncrPerc2024">'January 2024'!$P$2</definedName>
    <definedName name="BaseIncrPerc2025" localSheetId="9">'January 2026 '!$Q$2</definedName>
    <definedName name="BaseIncrPerc2025" localSheetId="10">'January 2027'!$Q$2</definedName>
    <definedName name="BaseIncrPerc2025" localSheetId="11">'January 2028'!$Q$2</definedName>
    <definedName name="BaseIncrPerc2025" localSheetId="8">'November 2025'!$P$2</definedName>
    <definedName name="DataJan2023">'January 2023'!$P$7:$V$43</definedName>
    <definedName name="DataJan2024">'January 2024'!$P$7:$V$46</definedName>
    <definedName name="DataJan26">'January 2026 '!$Q$7:$X$42</definedName>
    <definedName name="DataJan27">'January 2027'!$Q$7:$X$45</definedName>
    <definedName name="DataMar2021">'March 2021'!$O$1:$T$49</definedName>
    <definedName name="DataMarch2022">'March 2022'!$P$5:$V$90</definedName>
    <definedName name="DataNov25">'November 2025'!$P$7:$V$43</definedName>
    <definedName name="LeakLocaterPrem2">'January 2023'!$R$2</definedName>
    <definedName name="LeakLocaterPremium">'January 2023'!$P$5</definedName>
    <definedName name="ShiftIncrPerc2020">'May 2020'!$P$2</definedName>
    <definedName name="ShiftIncrPerc2020v2">'May 2020'!$P$3</definedName>
    <definedName name="ShiftIncrPerc2021">'March 2021'!$P$2</definedName>
    <definedName name="ShiftIncrPerc2021v2">'March 2021'!$P$3</definedName>
    <definedName name="ShiftIncrPerc2022">'March 2022'!$P$2</definedName>
    <definedName name="ShiftIncrPerc2022v2">'March 2022'!$P$3</definedName>
    <definedName name="ShoePremium">'January 2023'!$P$4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9" i="11" l="1"/>
  <c r="B49" i="15"/>
  <c r="B49" i="14"/>
  <c r="B49" i="13"/>
  <c r="U8" i="15"/>
  <c r="AD8" i="15" s="1"/>
  <c r="T8" i="15"/>
  <c r="J8" i="15" s="1"/>
  <c r="T24" i="15"/>
  <c r="X10" i="15"/>
  <c r="T11" i="15"/>
  <c r="U11" i="15"/>
  <c r="V11" i="15"/>
  <c r="W11" i="15"/>
  <c r="X11" i="15"/>
  <c r="N11" i="15" s="1"/>
  <c r="X9" i="15"/>
  <c r="N9" i="15" s="1"/>
  <c r="W9" i="15"/>
  <c r="V9" i="15"/>
  <c r="U9" i="15"/>
  <c r="T9" i="15"/>
  <c r="AA42" i="15"/>
  <c r="Z42" i="15"/>
  <c r="AA41" i="15"/>
  <c r="Z41" i="15"/>
  <c r="AA40" i="15"/>
  <c r="Z40" i="15"/>
  <c r="AA39" i="15"/>
  <c r="Z39" i="15"/>
  <c r="AA38" i="15"/>
  <c r="Z38" i="15"/>
  <c r="AA35" i="15"/>
  <c r="Z35" i="15"/>
  <c r="AA34" i="15"/>
  <c r="Z34" i="15"/>
  <c r="AA33" i="15"/>
  <c r="Z33" i="15"/>
  <c r="AA30" i="15"/>
  <c r="Z30" i="15"/>
  <c r="AA29" i="15"/>
  <c r="Z29" i="15"/>
  <c r="AA28" i="15"/>
  <c r="Z28" i="15"/>
  <c r="AC24" i="15"/>
  <c r="Z24" i="15"/>
  <c r="B24" i="15"/>
  <c r="Z20" i="15"/>
  <c r="Z19" i="15"/>
  <c r="Z18" i="15"/>
  <c r="Z17" i="15"/>
  <c r="S11" i="15"/>
  <c r="AB11" i="15" s="1"/>
  <c r="R11" i="15"/>
  <c r="AA11" i="15" s="1"/>
  <c r="Q11" i="15"/>
  <c r="AG10" i="15"/>
  <c r="AB10" i="15"/>
  <c r="AA10" i="15"/>
  <c r="S10" i="15"/>
  <c r="R10" i="15"/>
  <c r="N10" i="15"/>
  <c r="AA9" i="15"/>
  <c r="S9" i="15"/>
  <c r="AB9" i="15" s="1"/>
  <c r="R9" i="15"/>
  <c r="Q9" i="15"/>
  <c r="AB8" i="15"/>
  <c r="AA8" i="15"/>
  <c r="Z8" i="15"/>
  <c r="S8" i="15"/>
  <c r="R8" i="15"/>
  <c r="Q8" i="15"/>
  <c r="T24" i="14"/>
  <c r="B24" i="14" s="1"/>
  <c r="V11" i="14"/>
  <c r="T8" i="14"/>
  <c r="AC8" i="14" s="1"/>
  <c r="U8" i="14"/>
  <c r="K8" i="14" s="1"/>
  <c r="AG9" i="14"/>
  <c r="AA42" i="14"/>
  <c r="Z42" i="14"/>
  <c r="AA41" i="14"/>
  <c r="Z41" i="14"/>
  <c r="AA40" i="14"/>
  <c r="Z40" i="14"/>
  <c r="AA39" i="14"/>
  <c r="Z39" i="14"/>
  <c r="AA38" i="14"/>
  <c r="Z38" i="14"/>
  <c r="AA35" i="14"/>
  <c r="Z35" i="14"/>
  <c r="AA34" i="14"/>
  <c r="Z34" i="14"/>
  <c r="AA33" i="14"/>
  <c r="Z33" i="14"/>
  <c r="AA30" i="14"/>
  <c r="Z30" i="14"/>
  <c r="AA29" i="14"/>
  <c r="Z29" i="14"/>
  <c r="AA28" i="14"/>
  <c r="Z28" i="14"/>
  <c r="Z24" i="14"/>
  <c r="Z20" i="14"/>
  <c r="Z19" i="14"/>
  <c r="Z18" i="14"/>
  <c r="Z17" i="14"/>
  <c r="AG11" i="14"/>
  <c r="AB11" i="14"/>
  <c r="Z11" i="14"/>
  <c r="S11" i="14"/>
  <c r="R11" i="14"/>
  <c r="AA11" i="14" s="1"/>
  <c r="Q11" i="14"/>
  <c r="N11" i="14"/>
  <c r="AG10" i="14"/>
  <c r="AA10" i="14"/>
  <c r="S10" i="14"/>
  <c r="AB10" i="14" s="1"/>
  <c r="R10" i="14"/>
  <c r="N10" i="14"/>
  <c r="AB9" i="14"/>
  <c r="S9" i="14"/>
  <c r="R9" i="14"/>
  <c r="AA9" i="14" s="1"/>
  <c r="Q9" i="14"/>
  <c r="S8" i="14"/>
  <c r="AB8" i="14" s="1"/>
  <c r="R8" i="14"/>
  <c r="AA8" i="14" s="1"/>
  <c r="Q8" i="14"/>
  <c r="Z8" i="14" s="1"/>
  <c r="J8" i="14"/>
  <c r="AA42" i="13"/>
  <c r="Z42" i="13"/>
  <c r="AA41" i="13"/>
  <c r="Z41" i="13"/>
  <c r="AA40" i="13"/>
  <c r="Z40" i="13"/>
  <c r="AA39" i="13"/>
  <c r="Z39" i="13"/>
  <c r="AA38" i="13"/>
  <c r="Z38" i="13"/>
  <c r="AA35" i="13"/>
  <c r="Z35" i="13"/>
  <c r="AA34" i="13"/>
  <c r="Z34" i="13"/>
  <c r="AA33" i="13"/>
  <c r="Z33" i="13"/>
  <c r="AA30" i="13"/>
  <c r="Z30" i="13"/>
  <c r="AA29" i="13"/>
  <c r="Z29" i="13"/>
  <c r="AA28" i="13"/>
  <c r="Z28" i="13"/>
  <c r="AC24" i="13"/>
  <c r="Z24" i="13"/>
  <c r="B24" i="13"/>
  <c r="Z20" i="13"/>
  <c r="Z19" i="13"/>
  <c r="Z18" i="13"/>
  <c r="Z17" i="13"/>
  <c r="S11" i="13"/>
  <c r="AB11" i="13" s="1"/>
  <c r="R11" i="13"/>
  <c r="AA11" i="13" s="1"/>
  <c r="Q11" i="13"/>
  <c r="V11" i="13" s="1"/>
  <c r="S10" i="13"/>
  <c r="AB10" i="13" s="1"/>
  <c r="R10" i="13"/>
  <c r="AA10" i="13" s="1"/>
  <c r="S9" i="13"/>
  <c r="AB9" i="13" s="1"/>
  <c r="R9" i="13"/>
  <c r="AA9" i="13" s="1"/>
  <c r="Q9" i="13"/>
  <c r="T9" i="13" s="1"/>
  <c r="T9" i="14" s="1"/>
  <c r="AD8" i="13"/>
  <c r="AC8" i="13"/>
  <c r="S8" i="13"/>
  <c r="AB8" i="13" s="1"/>
  <c r="R8" i="13"/>
  <c r="AA8" i="13" s="1"/>
  <c r="Q8" i="13"/>
  <c r="Z8" i="13" s="1"/>
  <c r="K8" i="13"/>
  <c r="J8" i="13"/>
  <c r="K8" i="15" l="1"/>
  <c r="AG11" i="15"/>
  <c r="AG9" i="15"/>
  <c r="AC8" i="15"/>
  <c r="Z11" i="15"/>
  <c r="Z9" i="15"/>
  <c r="AD8" i="14"/>
  <c r="AC24" i="14"/>
  <c r="N9" i="14"/>
  <c r="AC9" i="14"/>
  <c r="J9" i="14"/>
  <c r="AF11" i="14"/>
  <c r="M11" i="14"/>
  <c r="Z9" i="14"/>
  <c r="V9" i="13"/>
  <c r="U9" i="13"/>
  <c r="W9" i="13"/>
  <c r="Z11" i="13"/>
  <c r="W11" i="13"/>
  <c r="W11" i="14" s="1"/>
  <c r="Z9" i="13"/>
  <c r="AC9" i="13"/>
  <c r="J9" i="13"/>
  <c r="AE11" i="13"/>
  <c r="L11" i="13"/>
  <c r="U11" i="13"/>
  <c r="U11" i="14" s="1"/>
  <c r="T11" i="13"/>
  <c r="T11" i="14" s="1"/>
  <c r="Y42" i="11"/>
  <c r="X42" i="11"/>
  <c r="Y41" i="11"/>
  <c r="X41" i="11"/>
  <c r="Y40" i="11"/>
  <c r="X40" i="11"/>
  <c r="Y39" i="11"/>
  <c r="X39" i="11"/>
  <c r="Y38" i="11"/>
  <c r="X38" i="11"/>
  <c r="Y35" i="11"/>
  <c r="X35" i="11"/>
  <c r="Y34" i="11"/>
  <c r="X34" i="11"/>
  <c r="Y33" i="11"/>
  <c r="X33" i="11"/>
  <c r="Y30" i="11"/>
  <c r="X30" i="11"/>
  <c r="Y29" i="11"/>
  <c r="X29" i="11"/>
  <c r="Y28" i="11"/>
  <c r="X28" i="11"/>
  <c r="AA24" i="11"/>
  <c r="X24" i="11"/>
  <c r="B24" i="11"/>
  <c r="X20" i="11"/>
  <c r="X19" i="11"/>
  <c r="X18" i="11"/>
  <c r="X17" i="11"/>
  <c r="Z11" i="11"/>
  <c r="Y11" i="11"/>
  <c r="X11" i="11"/>
  <c r="R11" i="11"/>
  <c r="Q11" i="11"/>
  <c r="P11" i="11"/>
  <c r="Z10" i="11"/>
  <c r="Y10" i="11"/>
  <c r="R10" i="11"/>
  <c r="Q10" i="11"/>
  <c r="Z9" i="11"/>
  <c r="Y9" i="11"/>
  <c r="X9" i="11"/>
  <c r="R9" i="11"/>
  <c r="Q9" i="11"/>
  <c r="P9" i="11"/>
  <c r="Z8" i="11"/>
  <c r="R8" i="11"/>
  <c r="Q8" i="11"/>
  <c r="Y8" i="11" s="1"/>
  <c r="P8" i="11"/>
  <c r="X8" i="11" s="1"/>
  <c r="S10" i="11" a="1"/>
  <c r="T10" i="11" a="1"/>
  <c r="V10" i="11" a="1"/>
  <c r="U10" i="11" a="1"/>
  <c r="L9" i="13" l="1"/>
  <c r="V9" i="14"/>
  <c r="L9" i="14" s="1"/>
  <c r="AC9" i="15"/>
  <c r="J9" i="15"/>
  <c r="AF9" i="13"/>
  <c r="W9" i="14"/>
  <c r="M9" i="14" s="1"/>
  <c r="AF11" i="15"/>
  <c r="M11" i="15"/>
  <c r="AE11" i="15"/>
  <c r="L11" i="15"/>
  <c r="AF9" i="15"/>
  <c r="M9" i="15"/>
  <c r="K9" i="13"/>
  <c r="U9" i="14"/>
  <c r="AD9" i="14" s="1"/>
  <c r="AE9" i="14"/>
  <c r="L11" i="14"/>
  <c r="AE11" i="14"/>
  <c r="M9" i="13"/>
  <c r="AD9" i="13"/>
  <c r="K11" i="14"/>
  <c r="AD11" i="14"/>
  <c r="AE9" i="13"/>
  <c r="AC11" i="14"/>
  <c r="J11" i="14"/>
  <c r="AF11" i="13"/>
  <c r="M11" i="13"/>
  <c r="AC11" i="13"/>
  <c r="J11" i="13"/>
  <c r="AD11" i="13"/>
  <c r="K11" i="13"/>
  <c r="V10" i="11"/>
  <c r="S10" i="11"/>
  <c r="T10" i="11"/>
  <c r="U10" i="11"/>
  <c r="AC11" i="15" l="1"/>
  <c r="J11" i="15"/>
  <c r="AF9" i="14"/>
  <c r="AD9" i="15"/>
  <c r="K9" i="15"/>
  <c r="AD11" i="15"/>
  <c r="K11" i="15"/>
  <c r="K9" i="14"/>
  <c r="AE9" i="15"/>
  <c r="L9" i="15"/>
  <c r="T10" i="13"/>
  <c r="V10" i="13"/>
  <c r="U10" i="13"/>
  <c r="W10" i="13"/>
  <c r="AC10" i="11"/>
  <c r="L10" i="11"/>
  <c r="AA10" i="11"/>
  <c r="J10" i="11"/>
  <c r="AD10" i="11"/>
  <c r="M10" i="11"/>
  <c r="AB10" i="11"/>
  <c r="K10" i="11"/>
  <c r="U10" i="14" l="1"/>
  <c r="V10" i="14"/>
  <c r="W10" i="14"/>
  <c r="T10" i="14"/>
  <c r="M10" i="13"/>
  <c r="AF10" i="13"/>
  <c r="AE10" i="13"/>
  <c r="L10" i="13"/>
  <c r="AD10" i="13"/>
  <c r="K10" i="13"/>
  <c r="AC10" i="13"/>
  <c r="J10" i="13"/>
  <c r="J10" i="14" l="1"/>
  <c r="T10" i="15"/>
  <c r="AF10" i="14"/>
  <c r="W10" i="15"/>
  <c r="AF10" i="15" s="1"/>
  <c r="AE10" i="14"/>
  <c r="V10" i="15"/>
  <c r="AE10" i="15" s="1"/>
  <c r="AD10" i="14"/>
  <c r="U10" i="15"/>
  <c r="K10" i="15" s="1"/>
  <c r="AC10" i="14"/>
  <c r="K10" i="14"/>
  <c r="L10" i="14"/>
  <c r="M10" i="14"/>
  <c r="J10" i="15" l="1"/>
  <c r="AD10" i="15"/>
  <c r="M10" i="15"/>
  <c r="L10" i="15"/>
  <c r="AC10" i="15"/>
  <c r="AR11" i="9" l="1"/>
  <c r="AS11" i="9"/>
  <c r="AT11" i="9"/>
  <c r="AU11" i="9"/>
  <c r="AM11" i="9"/>
  <c r="AN11" i="9"/>
  <c r="AO11" i="9"/>
  <c r="AP11" i="9"/>
  <c r="AE9" i="9"/>
  <c r="AF9" i="9"/>
  <c r="AG9" i="9"/>
  <c r="AK9" i="9" s="1"/>
  <c r="AH9" i="9"/>
  <c r="AL9" i="9" s="1"/>
  <c r="AE10" i="9"/>
  <c r="AF10" i="9"/>
  <c r="AG10" i="9"/>
  <c r="AH10" i="9"/>
  <c r="AE11" i="9"/>
  <c r="AI11" i="9" s="1"/>
  <c r="AF11" i="9"/>
  <c r="AJ11" i="9" s="1"/>
  <c r="AG11" i="9"/>
  <c r="AK11" i="9" s="1"/>
  <c r="AH11" i="9"/>
  <c r="AL11" i="9" s="1"/>
  <c r="AE12" i="9"/>
  <c r="AF12" i="9"/>
  <c r="AG12" i="9"/>
  <c r="AH12" i="9"/>
  <c r="AH8" i="9"/>
  <c r="AG8" i="9"/>
  <c r="AF8" i="9"/>
  <c r="AE8" i="9"/>
  <c r="X35" i="10" l="1"/>
  <c r="Y35" i="10"/>
  <c r="X36" i="9"/>
  <c r="Y36" i="9"/>
  <c r="R10" i="10"/>
  <c r="Z10" i="10" s="1"/>
  <c r="Q10" i="10"/>
  <c r="Y10" i="10" s="1"/>
  <c r="J11" i="9"/>
  <c r="K11" i="9"/>
  <c r="L11" i="9"/>
  <c r="M11" i="9"/>
  <c r="Y11" i="9"/>
  <c r="Q11" i="9"/>
  <c r="R11" i="9"/>
  <c r="Z11" i="9" s="1"/>
  <c r="X35" i="8"/>
  <c r="Y35" i="8"/>
  <c r="B3" i="10"/>
  <c r="B3" i="8"/>
  <c r="B3" i="9"/>
  <c r="Y42" i="10"/>
  <c r="X42" i="10"/>
  <c r="Y41" i="10"/>
  <c r="X41" i="10"/>
  <c r="Y40" i="10"/>
  <c r="X40" i="10"/>
  <c r="Y39" i="10"/>
  <c r="X39" i="10"/>
  <c r="Y38" i="10"/>
  <c r="X38" i="10"/>
  <c r="Y34" i="10"/>
  <c r="X34" i="10"/>
  <c r="Y33" i="10"/>
  <c r="X33" i="10"/>
  <c r="Y30" i="10"/>
  <c r="X30" i="10"/>
  <c r="Y29" i="10"/>
  <c r="X29" i="10"/>
  <c r="Y28" i="10"/>
  <c r="X28" i="10"/>
  <c r="AA24" i="10"/>
  <c r="X24" i="10"/>
  <c r="B24" i="10"/>
  <c r="X20" i="10"/>
  <c r="X19" i="10"/>
  <c r="X18" i="10"/>
  <c r="X17" i="10"/>
  <c r="R11" i="10"/>
  <c r="Z11" i="10" s="1"/>
  <c r="Q11" i="10"/>
  <c r="Y11" i="10" s="1"/>
  <c r="P11" i="10"/>
  <c r="X11" i="10" s="1"/>
  <c r="R9" i="10"/>
  <c r="Z9" i="10" s="1"/>
  <c r="Q9" i="10"/>
  <c r="Y9" i="10" s="1"/>
  <c r="P9" i="10"/>
  <c r="X9" i="10" s="1"/>
  <c r="R8" i="10"/>
  <c r="Z8" i="10" s="1"/>
  <c r="Q8" i="10"/>
  <c r="Y8" i="10" s="1"/>
  <c r="P8" i="10"/>
  <c r="X8" i="10" s="1"/>
  <c r="Y43" i="9"/>
  <c r="X43" i="9"/>
  <c r="Y42" i="9"/>
  <c r="X42" i="9"/>
  <c r="Y41" i="9"/>
  <c r="X41" i="9"/>
  <c r="Y40" i="9"/>
  <c r="X40" i="9"/>
  <c r="Y39" i="9"/>
  <c r="X39" i="9"/>
  <c r="Y35" i="9"/>
  <c r="X35" i="9"/>
  <c r="Y34" i="9"/>
  <c r="X34" i="9"/>
  <c r="Y31" i="9"/>
  <c r="X31" i="9"/>
  <c r="Y30" i="9"/>
  <c r="X30" i="9"/>
  <c r="Y29" i="9"/>
  <c r="X29" i="9"/>
  <c r="AA25" i="9"/>
  <c r="X25" i="9"/>
  <c r="B25" i="9"/>
  <c r="X21" i="9"/>
  <c r="X20" i="9"/>
  <c r="X19" i="9"/>
  <c r="X18" i="9"/>
  <c r="R12" i="9"/>
  <c r="Z12" i="9" s="1"/>
  <c r="Q12" i="9"/>
  <c r="Y12" i="9" s="1"/>
  <c r="P12" i="9"/>
  <c r="X12" i="9" s="1"/>
  <c r="R10" i="9"/>
  <c r="Z10" i="9" s="1"/>
  <c r="Q10" i="9"/>
  <c r="Y10" i="9" s="1"/>
  <c r="P10" i="9"/>
  <c r="X10" i="9" s="1"/>
  <c r="R9" i="9"/>
  <c r="Z9" i="9" s="1"/>
  <c r="Q9" i="9"/>
  <c r="Y9" i="9" s="1"/>
  <c r="P9" i="9"/>
  <c r="X9" i="9" s="1"/>
  <c r="R8" i="9"/>
  <c r="Z8" i="9" s="1"/>
  <c r="Q8" i="9"/>
  <c r="Y8" i="9" s="1"/>
  <c r="P8" i="9"/>
  <c r="X8" i="9" s="1"/>
  <c r="B42" i="8"/>
  <c r="B24" i="8"/>
  <c r="T10" i="10" a="1"/>
  <c r="U10" i="10" a="1"/>
  <c r="V10" i="10" a="1"/>
  <c r="S10" i="10" a="1"/>
  <c r="S10" i="10" l="1"/>
  <c r="U10" i="10"/>
  <c r="T10" i="10"/>
  <c r="V10" i="10"/>
  <c r="AC11" i="9"/>
  <c r="AD11" i="9"/>
  <c r="AB11" i="9"/>
  <c r="AA11" i="9"/>
  <c r="AA42" i="8"/>
  <c r="Y42" i="8"/>
  <c r="X42" i="8"/>
  <c r="Y41" i="8"/>
  <c r="X41" i="8"/>
  <c r="Y40" i="8"/>
  <c r="X40" i="8"/>
  <c r="Y39" i="8"/>
  <c r="X39" i="8"/>
  <c r="Y38" i="8"/>
  <c r="X38" i="8"/>
  <c r="Y34" i="8"/>
  <c r="X34" i="8"/>
  <c r="Y33" i="8"/>
  <c r="X33" i="8"/>
  <c r="L10" i="10" l="1"/>
  <c r="AC10" i="10"/>
  <c r="M10" i="10"/>
  <c r="AD10" i="10"/>
  <c r="J10" i="10"/>
  <c r="AA10" i="10"/>
  <c r="K10" i="10"/>
  <c r="AB10" i="10"/>
  <c r="Y30" i="8"/>
  <c r="X30" i="8"/>
  <c r="Y29" i="8"/>
  <c r="X29" i="8"/>
  <c r="Y28" i="8"/>
  <c r="X28" i="8"/>
  <c r="X24" i="8"/>
  <c r="X20" i="8"/>
  <c r="X19" i="8"/>
  <c r="X18" i="8"/>
  <c r="X17" i="8"/>
  <c r="R11" i="8"/>
  <c r="Z11" i="8" s="1"/>
  <c r="Q11" i="8"/>
  <c r="Y11" i="8" s="1"/>
  <c r="P11" i="8"/>
  <c r="X11" i="8" s="1"/>
  <c r="R10" i="8"/>
  <c r="Z10" i="8" s="1"/>
  <c r="Q10" i="8"/>
  <c r="Y10" i="8" s="1"/>
  <c r="P10" i="8"/>
  <c r="X10" i="8" s="1"/>
  <c r="R9" i="8"/>
  <c r="Z9" i="8" s="1"/>
  <c r="Q9" i="8"/>
  <c r="Y9" i="8" s="1"/>
  <c r="P9" i="8"/>
  <c r="X9" i="8" s="1"/>
  <c r="R8" i="8"/>
  <c r="Z8" i="8" s="1"/>
  <c r="Q8" i="8"/>
  <c r="Y8" i="8" s="1"/>
  <c r="P8" i="8"/>
  <c r="S39" i="9" a="1"/>
  <c r="S43" i="9" a="1"/>
  <c r="S43" i="9" l="1"/>
  <c r="S39" i="9"/>
  <c r="X8" i="8"/>
  <c r="Y48" i="7"/>
  <c r="X48" i="7"/>
  <c r="Y44" i="7"/>
  <c r="X44" i="7"/>
  <c r="Y40" i="7"/>
  <c r="X40" i="7"/>
  <c r="Y39" i="7"/>
  <c r="X39" i="7"/>
  <c r="Y38" i="7"/>
  <c r="X38" i="7"/>
  <c r="Y30" i="7"/>
  <c r="Y31" i="7"/>
  <c r="Y32" i="7"/>
  <c r="Y33" i="7"/>
  <c r="Y34" i="7"/>
  <c r="X34" i="7"/>
  <c r="X33" i="7"/>
  <c r="X32" i="7"/>
  <c r="X31" i="7"/>
  <c r="X30" i="7"/>
  <c r="X26" i="7"/>
  <c r="X20" i="7"/>
  <c r="X21" i="7"/>
  <c r="X22" i="7"/>
  <c r="X19" i="7"/>
  <c r="S42" i="10" a="1"/>
  <c r="S38" i="11" a="1"/>
  <c r="S42" i="11" a="1"/>
  <c r="S38" i="10" a="1"/>
  <c r="S38" i="11" l="1"/>
  <c r="S42" i="11"/>
  <c r="S38" i="10"/>
  <c r="S42" i="10"/>
  <c r="AA39" i="9"/>
  <c r="B39" i="9"/>
  <c r="B43" i="9"/>
  <c r="AA43" i="9"/>
  <c r="Q48" i="6"/>
  <c r="B48" i="6" s="1"/>
  <c r="T42" i="13" l="1"/>
  <c r="T38" i="13"/>
  <c r="AA42" i="11"/>
  <c r="B42" i="11"/>
  <c r="AA38" i="11"/>
  <c r="B38" i="11"/>
  <c r="AA42" i="10"/>
  <c r="B42" i="10"/>
  <c r="B38" i="10"/>
  <c r="AA38" i="10"/>
  <c r="Q26" i="6"/>
  <c r="P7" i="7"/>
  <c r="X7" i="7" s="1"/>
  <c r="Q7" i="7"/>
  <c r="Y7" i="7" s="1"/>
  <c r="R7" i="7"/>
  <c r="Z7" i="7" s="1"/>
  <c r="P8" i="7"/>
  <c r="X8" i="7" s="1"/>
  <c r="Q8" i="7"/>
  <c r="Y8" i="7" s="1"/>
  <c r="R8" i="7"/>
  <c r="Z8" i="7" s="1"/>
  <c r="P9" i="7"/>
  <c r="X9" i="7" s="1"/>
  <c r="Q9" i="7"/>
  <c r="Y9" i="7" s="1"/>
  <c r="R9" i="7"/>
  <c r="Z9" i="7" s="1"/>
  <c r="P10" i="7"/>
  <c r="X10" i="7" s="1"/>
  <c r="Q10" i="7"/>
  <c r="Y10" i="7" s="1"/>
  <c r="R10" i="7"/>
  <c r="Z10" i="7" s="1"/>
  <c r="P11" i="7"/>
  <c r="X11" i="7" s="1"/>
  <c r="Q11" i="7"/>
  <c r="Y11" i="7" s="1"/>
  <c r="R11" i="7"/>
  <c r="Z11" i="7" s="1"/>
  <c r="P12" i="7"/>
  <c r="X12" i="7" s="1"/>
  <c r="Q12" i="7"/>
  <c r="Y12" i="7" s="1"/>
  <c r="R12" i="7"/>
  <c r="Z12" i="7" s="1"/>
  <c r="P13" i="7"/>
  <c r="X13" i="7" s="1"/>
  <c r="Q13" i="7"/>
  <c r="Y13" i="7" s="1"/>
  <c r="R13" i="7"/>
  <c r="Z13" i="7" s="1"/>
  <c r="O7" i="6"/>
  <c r="P7" i="6"/>
  <c r="O8" i="6"/>
  <c r="P8" i="6"/>
  <c r="O9" i="6"/>
  <c r="P9" i="6"/>
  <c r="O10" i="6"/>
  <c r="P10" i="6"/>
  <c r="O11" i="6"/>
  <c r="P11" i="6"/>
  <c r="O12" i="6"/>
  <c r="P12" i="6"/>
  <c r="O13" i="6"/>
  <c r="P13" i="6"/>
  <c r="P6" i="6"/>
  <c r="O6" i="6"/>
  <c r="R6" i="7"/>
  <c r="Z6" i="7" s="1"/>
  <c r="Q6" i="7"/>
  <c r="Y6" i="7" s="1"/>
  <c r="P6" i="7"/>
  <c r="X6" i="7" s="1"/>
  <c r="S26" i="7" a="1"/>
  <c r="T42" i="14" l="1"/>
  <c r="T38" i="14"/>
  <c r="AC38" i="13"/>
  <c r="B38" i="13"/>
  <c r="AC42" i="13"/>
  <c r="B42" i="13"/>
  <c r="S26" i="7"/>
  <c r="J6" i="4"/>
  <c r="K6" i="4"/>
  <c r="L6" i="4"/>
  <c r="M6" i="4"/>
  <c r="B38" i="14" l="1"/>
  <c r="T38" i="15"/>
  <c r="AC42" i="14"/>
  <c r="T42" i="15"/>
  <c r="B42" i="14"/>
  <c r="AC38" i="14"/>
  <c r="AA26" i="7"/>
  <c r="F27" i="2"/>
  <c r="O26" i="4" s="1"/>
  <c r="G26" i="4" s="1"/>
  <c r="G26" i="7" s="1"/>
  <c r="J7" i="4"/>
  <c r="J7" i="6" s="1"/>
  <c r="M6" i="6"/>
  <c r="L6" i="6"/>
  <c r="K6" i="6"/>
  <c r="J6" i="6"/>
  <c r="N49" i="2"/>
  <c r="N45" i="2"/>
  <c r="O44" i="4" s="1"/>
  <c r="B44" i="4" s="1"/>
  <c r="N40" i="2"/>
  <c r="O39" i="4" s="1"/>
  <c r="B39" i="4" s="1"/>
  <c r="N41" i="2"/>
  <c r="O40" i="4" s="1"/>
  <c r="Q40" i="6" s="1"/>
  <c r="N39" i="2"/>
  <c r="O38" i="4" s="1"/>
  <c r="B38" i="4" s="1"/>
  <c r="N32" i="2"/>
  <c r="O31" i="4" s="1"/>
  <c r="B31" i="4" s="1"/>
  <c r="N33" i="2"/>
  <c r="O32" i="4" s="1"/>
  <c r="B32" i="4" s="1"/>
  <c r="N34" i="2"/>
  <c r="O33" i="4" s="1"/>
  <c r="N35" i="2"/>
  <c r="O34" i="4" s="1"/>
  <c r="N31" i="2"/>
  <c r="O30" i="4" s="1"/>
  <c r="B30" i="4" s="1"/>
  <c r="S40" i="7" a="1"/>
  <c r="S48" i="7" a="1"/>
  <c r="AC38" i="15" l="1"/>
  <c r="B42" i="15"/>
  <c r="AC42" i="15"/>
  <c r="B38" i="15"/>
  <c r="AA24" i="8"/>
  <c r="Q33" i="6"/>
  <c r="B34" i="4"/>
  <c r="Q34" i="6"/>
  <c r="L6" i="7"/>
  <c r="S6" i="6"/>
  <c r="M6" i="7"/>
  <c r="T6" i="6"/>
  <c r="J7" i="7"/>
  <c r="Q7" i="6"/>
  <c r="J6" i="7"/>
  <c r="Q6" i="6"/>
  <c r="K6" i="7"/>
  <c r="R6" i="6"/>
  <c r="S48" i="7"/>
  <c r="S40" i="7"/>
  <c r="B48" i="4"/>
  <c r="B40" i="6"/>
  <c r="B33" i="4"/>
  <c r="B40" i="4"/>
  <c r="Q30" i="6"/>
  <c r="Q31" i="6"/>
  <c r="Q32" i="6"/>
  <c r="Q44" i="6"/>
  <c r="Q38" i="6"/>
  <c r="Q39" i="6"/>
  <c r="I11" i="2"/>
  <c r="J10" i="4" s="1"/>
  <c r="J10" i="6" s="1"/>
  <c r="J11" i="2"/>
  <c r="K10" i="4" s="1"/>
  <c r="K10" i="6" s="1"/>
  <c r="K11" i="2"/>
  <c r="L10" i="4" s="1"/>
  <c r="L10" i="6" s="1"/>
  <c r="L11" i="2"/>
  <c r="M10" i="4" s="1"/>
  <c r="M10" i="6" s="1"/>
  <c r="I12" i="2"/>
  <c r="J11" i="4" s="1"/>
  <c r="J11" i="6" s="1"/>
  <c r="J12" i="2"/>
  <c r="K11" i="4" s="1"/>
  <c r="K11" i="6" s="1"/>
  <c r="K12" i="2"/>
  <c r="L11" i="4" s="1"/>
  <c r="L11" i="6" s="1"/>
  <c r="L12" i="2"/>
  <c r="M11" i="4" s="1"/>
  <c r="M11" i="6" s="1"/>
  <c r="I13" i="2"/>
  <c r="J12" i="4" s="1"/>
  <c r="J12" i="6" s="1"/>
  <c r="J13" i="2"/>
  <c r="K12" i="4" s="1"/>
  <c r="K12" i="6" s="1"/>
  <c r="K13" i="2"/>
  <c r="L12" i="4" s="1"/>
  <c r="L12" i="6" s="1"/>
  <c r="L13" i="2"/>
  <c r="M12" i="4" s="1"/>
  <c r="M12" i="6" s="1"/>
  <c r="I14" i="2"/>
  <c r="J13" i="4" s="1"/>
  <c r="J13" i="6" s="1"/>
  <c r="J14" i="2"/>
  <c r="K13" i="4" s="1"/>
  <c r="K13" i="6" s="1"/>
  <c r="K14" i="2"/>
  <c r="L13" i="4" s="1"/>
  <c r="L13" i="6" s="1"/>
  <c r="L14" i="2"/>
  <c r="M13" i="4" s="1"/>
  <c r="M13" i="6" s="1"/>
  <c r="I9" i="2"/>
  <c r="J8" i="4" s="1"/>
  <c r="J8" i="6" s="1"/>
  <c r="J9" i="2"/>
  <c r="K8" i="4" s="1"/>
  <c r="K8" i="6" s="1"/>
  <c r="K9" i="2"/>
  <c r="L8" i="4" s="1"/>
  <c r="L8" i="6" s="1"/>
  <c r="L9" i="2"/>
  <c r="M8" i="4" s="1"/>
  <c r="M8" i="6" s="1"/>
  <c r="I10" i="2"/>
  <c r="J9" i="4" s="1"/>
  <c r="J9" i="6" s="1"/>
  <c r="J10" i="2"/>
  <c r="K9" i="4" s="1"/>
  <c r="K9" i="6" s="1"/>
  <c r="K10" i="2"/>
  <c r="L9" i="4" s="1"/>
  <c r="L9" i="6" s="1"/>
  <c r="L10" i="2"/>
  <c r="M9" i="4" s="1"/>
  <c r="M9" i="6" s="1"/>
  <c r="K6" i="2"/>
  <c r="J6" i="2"/>
  <c r="I6" i="2"/>
  <c r="S31" i="7" a="1"/>
  <c r="S39" i="7" a="1"/>
  <c r="S33" i="7" a="1"/>
  <c r="V6" i="7" a="1"/>
  <c r="U6" i="7" a="1"/>
  <c r="S44" i="7"/>
  <c r="S35" i="8" a="1"/>
  <c r="S34" i="7" a="1"/>
  <c r="T6" i="7" a="1"/>
  <c r="S30" i="8" a="1"/>
  <c r="S6" i="7" a="1"/>
  <c r="S38" i="7" a="1"/>
  <c r="S7" i="7" a="1"/>
  <c r="S30" i="7" a="1"/>
  <c r="S32" i="7" a="1"/>
  <c r="S35" i="8" l="1"/>
  <c r="AA35" i="8" s="1"/>
  <c r="S30" i="8"/>
  <c r="S33" i="7"/>
  <c r="S34" i="7"/>
  <c r="B33" i="6"/>
  <c r="B48" i="7"/>
  <c r="AA48" i="7"/>
  <c r="B40" i="7"/>
  <c r="AA40" i="7"/>
  <c r="S6" i="7"/>
  <c r="T6" i="7"/>
  <c r="S7" i="7"/>
  <c r="V6" i="7"/>
  <c r="U6" i="7"/>
  <c r="M9" i="7"/>
  <c r="T9" i="6"/>
  <c r="K9" i="7"/>
  <c r="R9" i="6"/>
  <c r="K12" i="7"/>
  <c r="R12" i="6"/>
  <c r="J13" i="7"/>
  <c r="Q13" i="6"/>
  <c r="K13" i="7"/>
  <c r="R13" i="6"/>
  <c r="M12" i="7"/>
  <c r="T12" i="6"/>
  <c r="J9" i="7"/>
  <c r="Q9" i="6"/>
  <c r="M8" i="7"/>
  <c r="T8" i="6"/>
  <c r="M11" i="7"/>
  <c r="T11" i="6"/>
  <c r="J12" i="7"/>
  <c r="Q12" i="6"/>
  <c r="L11" i="7"/>
  <c r="S11" i="6"/>
  <c r="J10" i="7"/>
  <c r="Q10" i="6"/>
  <c r="L9" i="7"/>
  <c r="S9" i="6"/>
  <c r="L8" i="7"/>
  <c r="S8" i="6"/>
  <c r="K8" i="7"/>
  <c r="R8" i="6"/>
  <c r="K11" i="7"/>
  <c r="R11" i="6"/>
  <c r="K10" i="7"/>
  <c r="R10" i="6"/>
  <c r="J8" i="7"/>
  <c r="Q8" i="6"/>
  <c r="J11" i="7"/>
  <c r="Q11" i="6"/>
  <c r="M13" i="7"/>
  <c r="T13" i="6"/>
  <c r="M10" i="7"/>
  <c r="T10" i="6"/>
  <c r="L12" i="7"/>
  <c r="S12" i="6"/>
  <c r="L13" i="7"/>
  <c r="S13" i="6"/>
  <c r="L10" i="7"/>
  <c r="S10" i="6"/>
  <c r="S39" i="7"/>
  <c r="S31" i="7"/>
  <c r="S32" i="7"/>
  <c r="S38" i="7"/>
  <c r="S30" i="7"/>
  <c r="B44" i="6"/>
  <c r="B30" i="6"/>
  <c r="B39" i="6"/>
  <c r="B38" i="6"/>
  <c r="B34" i="6"/>
  <c r="B31" i="6"/>
  <c r="B32" i="6"/>
  <c r="A23" i="2"/>
  <c r="N23" i="2" s="1"/>
  <c r="O22" i="4" s="1"/>
  <c r="A22" i="2"/>
  <c r="N22" i="2" s="1"/>
  <c r="O21" i="4" s="1"/>
  <c r="A21" i="2"/>
  <c r="N21" i="2" s="1"/>
  <c r="O20" i="4" s="1"/>
  <c r="A20" i="2"/>
  <c r="N20" i="2" s="1"/>
  <c r="O19" i="4" s="1"/>
  <c r="V8" i="7" a="1"/>
  <c r="V10" i="7" a="1"/>
  <c r="S28" i="8" a="1"/>
  <c r="U13" i="7" a="1"/>
  <c r="U10" i="7" a="1"/>
  <c r="U8" i="8" a="1"/>
  <c r="T9" i="7" a="1"/>
  <c r="S29" i="8" a="1"/>
  <c r="T13" i="7" a="1"/>
  <c r="U9" i="7" a="1"/>
  <c r="S36" i="9" a="1"/>
  <c r="T10" i="7" a="1"/>
  <c r="S39" i="8" a="1"/>
  <c r="V13" i="7" a="1"/>
  <c r="U8" i="7" a="1"/>
  <c r="S13" i="7" a="1"/>
  <c r="S12" i="7" a="1"/>
  <c r="S41" i="8" a="1"/>
  <c r="T8" i="8" a="1"/>
  <c r="S8" i="7" a="1"/>
  <c r="V9" i="7" a="1"/>
  <c r="S8" i="8" a="1"/>
  <c r="V8" i="8" a="1"/>
  <c r="T11" i="7" a="1"/>
  <c r="S31" i="9" a="1"/>
  <c r="S9" i="8" a="1"/>
  <c r="T8" i="7" a="1"/>
  <c r="V12" i="7" a="1"/>
  <c r="S40" i="8" a="1"/>
  <c r="U12" i="7" a="1"/>
  <c r="S10" i="7" a="1"/>
  <c r="S11" i="7" a="1"/>
  <c r="T12" i="7" a="1"/>
  <c r="U11" i="7" a="1"/>
  <c r="S9" i="7" a="1"/>
  <c r="V11" i="7" a="1"/>
  <c r="S33" i="8" a="1"/>
  <c r="S36" i="9" l="1"/>
  <c r="S31" i="9"/>
  <c r="B35" i="8"/>
  <c r="B30" i="8"/>
  <c r="S33" i="8"/>
  <c r="S39" i="8"/>
  <c r="S9" i="8"/>
  <c r="V8" i="8"/>
  <c r="U8" i="8"/>
  <c r="T8" i="8"/>
  <c r="S8" i="8"/>
  <c r="AD6" i="7"/>
  <c r="S41" i="8"/>
  <c r="S40" i="8"/>
  <c r="AA30" i="8"/>
  <c r="S28" i="8"/>
  <c r="S29" i="8"/>
  <c r="AA7" i="7"/>
  <c r="AA6" i="7"/>
  <c r="AC6" i="7"/>
  <c r="AB6" i="7"/>
  <c r="AA33" i="7"/>
  <c r="B33" i="7"/>
  <c r="AA34" i="7"/>
  <c r="B34" i="7"/>
  <c r="B44" i="7"/>
  <c r="AA44" i="7"/>
  <c r="B38" i="7"/>
  <c r="AA38" i="7"/>
  <c r="B39" i="7"/>
  <c r="AA39" i="7"/>
  <c r="B30" i="7"/>
  <c r="AA30" i="7"/>
  <c r="B32" i="7"/>
  <c r="AA32" i="7"/>
  <c r="B31" i="7"/>
  <c r="AA31" i="7"/>
  <c r="T12" i="7"/>
  <c r="V8" i="7"/>
  <c r="S11" i="7"/>
  <c r="U9" i="7"/>
  <c r="S9" i="7"/>
  <c r="V9" i="7"/>
  <c r="U10" i="7"/>
  <c r="S8" i="7"/>
  <c r="S10" i="7"/>
  <c r="V12" i="7"/>
  <c r="AD12" i="7" s="1"/>
  <c r="V10" i="7"/>
  <c r="AD10" i="7" s="1"/>
  <c r="T8" i="7"/>
  <c r="U8" i="7"/>
  <c r="U13" i="7"/>
  <c r="T10" i="7"/>
  <c r="U11" i="7"/>
  <c r="T13" i="7"/>
  <c r="V11" i="7"/>
  <c r="AD11" i="7" s="1"/>
  <c r="V13" i="7"/>
  <c r="AD13" i="7" s="1"/>
  <c r="T9" i="7"/>
  <c r="U12" i="7"/>
  <c r="T11" i="7"/>
  <c r="S12" i="7"/>
  <c r="S13" i="7"/>
  <c r="B21" i="4"/>
  <c r="Q21" i="6"/>
  <c r="B22" i="4"/>
  <c r="Q22" i="6"/>
  <c r="Q19" i="6"/>
  <c r="B19" i="4"/>
  <c r="B20" i="4"/>
  <c r="Q20" i="6"/>
  <c r="S29" i="9" a="1"/>
  <c r="V11" i="8" a="1"/>
  <c r="S30" i="10" a="1"/>
  <c r="T11" i="8" a="1"/>
  <c r="S22" i="7" a="1"/>
  <c r="S35" i="11" a="1"/>
  <c r="S8" i="9" a="1"/>
  <c r="S9" i="9" a="1"/>
  <c r="S11" i="8" a="1"/>
  <c r="U11" i="8" a="1"/>
  <c r="S21" i="7" a="1"/>
  <c r="S19" i="7" a="1"/>
  <c r="S10" i="8" a="1"/>
  <c r="S42" i="9" a="1"/>
  <c r="S35" i="10" a="1"/>
  <c r="S20" i="7" a="1"/>
  <c r="S34" i="9" a="1"/>
  <c r="S41" i="9" a="1"/>
  <c r="T8" i="9" a="1"/>
  <c r="V10" i="8" a="1"/>
  <c r="V8" i="9" a="1"/>
  <c r="S40" i="9" a="1"/>
  <c r="T10" i="8" a="1"/>
  <c r="S30" i="9" a="1"/>
  <c r="U10" i="8" a="1"/>
  <c r="S30" i="11" a="1"/>
  <c r="U8" i="9" a="1"/>
  <c r="S30" i="11" l="1"/>
  <c r="S35" i="11"/>
  <c r="AA36" i="9"/>
  <c r="S35" i="10"/>
  <c r="S30" i="10"/>
  <c r="B30" i="10" s="1"/>
  <c r="B36" i="9"/>
  <c r="B31" i="9"/>
  <c r="S9" i="9"/>
  <c r="V8" i="9"/>
  <c r="U8" i="9"/>
  <c r="T8" i="9"/>
  <c r="S8" i="9"/>
  <c r="S30" i="9"/>
  <c r="S34" i="9"/>
  <c r="S40" i="9"/>
  <c r="S29" i="9"/>
  <c r="S41" i="9"/>
  <c r="S42" i="9"/>
  <c r="AA29" i="8"/>
  <c r="B33" i="8"/>
  <c r="T9" i="8"/>
  <c r="B28" i="8"/>
  <c r="AA31" i="9"/>
  <c r="AA39" i="8"/>
  <c r="B39" i="8"/>
  <c r="AA40" i="8"/>
  <c r="B40" i="8"/>
  <c r="AA41" i="8"/>
  <c r="B41" i="8"/>
  <c r="S34" i="8"/>
  <c r="AA34" i="8" s="1"/>
  <c r="AA33" i="8"/>
  <c r="J9" i="8"/>
  <c r="AB8" i="8"/>
  <c r="K8" i="8"/>
  <c r="AC8" i="8"/>
  <c r="L8" i="8"/>
  <c r="AD8" i="8"/>
  <c r="M8" i="8"/>
  <c r="AA8" i="8"/>
  <c r="J8" i="8"/>
  <c r="AA9" i="8"/>
  <c r="S11" i="8"/>
  <c r="T11" i="8"/>
  <c r="U11" i="8"/>
  <c r="V11" i="8"/>
  <c r="V10" i="8"/>
  <c r="U10" i="8"/>
  <c r="T10" i="8"/>
  <c r="S10" i="8"/>
  <c r="AD9" i="7"/>
  <c r="AD8" i="7"/>
  <c r="B38" i="8"/>
  <c r="AA28" i="8"/>
  <c r="B29" i="8"/>
  <c r="AB10" i="7"/>
  <c r="AA13" i="7"/>
  <c r="AB8" i="7"/>
  <c r="AA12" i="7"/>
  <c r="AC12" i="7"/>
  <c r="AA10" i="7"/>
  <c r="AA9" i="7"/>
  <c r="AB11" i="7"/>
  <c r="AB9" i="7"/>
  <c r="AA8" i="7"/>
  <c r="AC10" i="7"/>
  <c r="AA11" i="7"/>
  <c r="AB13" i="7"/>
  <c r="AC11" i="7"/>
  <c r="AC9" i="7"/>
  <c r="AC13" i="7"/>
  <c r="AC8" i="7"/>
  <c r="AB12" i="7"/>
  <c r="S21" i="7"/>
  <c r="S20" i="7"/>
  <c r="S19" i="7"/>
  <c r="S22" i="7"/>
  <c r="B20" i="6"/>
  <c r="B19" i="6"/>
  <c r="B22" i="6"/>
  <c r="B21" i="6"/>
  <c r="S12" i="9" a="1"/>
  <c r="T10" i="9" a="1"/>
  <c r="S20" i="8" a="1"/>
  <c r="S18" i="8" a="1"/>
  <c r="S10" i="9" a="1"/>
  <c r="S17" i="8" a="1"/>
  <c r="S41" i="11" a="1"/>
  <c r="U10" i="9" a="1"/>
  <c r="S29" i="11" a="1"/>
  <c r="S28" i="11" a="1"/>
  <c r="S40" i="11" a="1"/>
  <c r="S33" i="10" a="1"/>
  <c r="S29" i="10" a="1"/>
  <c r="S41" i="10" a="1"/>
  <c r="S33" i="11" a="1"/>
  <c r="U12" i="9" a="1"/>
  <c r="S19" i="8" a="1"/>
  <c r="S39" i="11" a="1"/>
  <c r="S40" i="10" a="1"/>
  <c r="S28" i="10" a="1"/>
  <c r="S39" i="10" a="1"/>
  <c r="T12" i="9" a="1"/>
  <c r="T9" i="9" a="1"/>
  <c r="S8" i="11" a="1"/>
  <c r="S8" i="10" a="1"/>
  <c r="V12" i="9" a="1"/>
  <c r="V10" i="9" a="1"/>
  <c r="T35" i="13" l="1"/>
  <c r="T30" i="13"/>
  <c r="S8" i="11"/>
  <c r="S41" i="11"/>
  <c r="S28" i="11"/>
  <c r="S39" i="11"/>
  <c r="S40" i="11"/>
  <c r="S33" i="11"/>
  <c r="S29" i="11"/>
  <c r="B35" i="11"/>
  <c r="AA35" i="11"/>
  <c r="AA30" i="11"/>
  <c r="B30" i="11"/>
  <c r="B35" i="10"/>
  <c r="AA35" i="10"/>
  <c r="AA30" i="10"/>
  <c r="S33" i="10"/>
  <c r="B33" i="10" s="1"/>
  <c r="S29" i="10"/>
  <c r="B29" i="10" s="1"/>
  <c r="S41" i="10"/>
  <c r="B41" i="10" s="1"/>
  <c r="S8" i="10"/>
  <c r="J8" i="10" s="1"/>
  <c r="S40" i="10"/>
  <c r="B40" i="10" s="1"/>
  <c r="S28" i="10"/>
  <c r="AA28" i="10" s="1"/>
  <c r="S39" i="10"/>
  <c r="AA39" i="10" s="1"/>
  <c r="B30" i="9"/>
  <c r="J8" i="9"/>
  <c r="AM8" i="9" s="1"/>
  <c r="AB8" i="9"/>
  <c r="AJ8" i="9" s="1"/>
  <c r="AC8" i="9"/>
  <c r="AK8" i="9" s="1"/>
  <c r="AD8" i="9"/>
  <c r="AL8" i="9" s="1"/>
  <c r="B42" i="9"/>
  <c r="AA9" i="9"/>
  <c r="AI9" i="9" s="1"/>
  <c r="AA41" i="9"/>
  <c r="B29" i="9"/>
  <c r="B40" i="9"/>
  <c r="V12" i="9"/>
  <c r="U12" i="9"/>
  <c r="T12" i="9"/>
  <c r="S12" i="9"/>
  <c r="S10" i="9"/>
  <c r="T10" i="9"/>
  <c r="V10" i="9"/>
  <c r="U10" i="9"/>
  <c r="T9" i="9"/>
  <c r="AA40" i="9"/>
  <c r="K9" i="8"/>
  <c r="B41" i="9"/>
  <c r="L8" i="9"/>
  <c r="AO8" i="9" s="1"/>
  <c r="AA8" i="9"/>
  <c r="AI8" i="9" s="1"/>
  <c r="AA29" i="9"/>
  <c r="AA30" i="9"/>
  <c r="AA42" i="9"/>
  <c r="B34" i="9"/>
  <c r="S35" i="9"/>
  <c r="AA35" i="9" s="1"/>
  <c r="AA34" i="9"/>
  <c r="M8" i="9"/>
  <c r="AP8" i="9" s="1"/>
  <c r="K8" i="9"/>
  <c r="AN8" i="9" s="1"/>
  <c r="J9" i="9"/>
  <c r="B22" i="7"/>
  <c r="B19" i="7"/>
  <c r="B20" i="7"/>
  <c r="B21" i="7"/>
  <c r="AA38" i="8"/>
  <c r="AB9" i="8"/>
  <c r="AC11" i="8"/>
  <c r="L11" i="8"/>
  <c r="AB11" i="8"/>
  <c r="K11" i="8"/>
  <c r="AB10" i="8"/>
  <c r="K10" i="8"/>
  <c r="AC10" i="8"/>
  <c r="L10" i="8"/>
  <c r="AA11" i="8"/>
  <c r="J11" i="8"/>
  <c r="AA10" i="8"/>
  <c r="J10" i="8"/>
  <c r="AD10" i="8"/>
  <c r="M10" i="8"/>
  <c r="AD11" i="8"/>
  <c r="M11" i="8"/>
  <c r="S20" i="8"/>
  <c r="S17" i="8"/>
  <c r="S18" i="8"/>
  <c r="S19" i="8"/>
  <c r="AA22" i="7"/>
  <c r="AA19" i="7"/>
  <c r="AA20" i="7"/>
  <c r="AA21" i="7"/>
  <c r="S20" i="9" a="1"/>
  <c r="S9" i="10" a="1"/>
  <c r="U11" i="10" a="1"/>
  <c r="S18" i="9" a="1"/>
  <c r="U9" i="10" a="1"/>
  <c r="V9" i="10" a="1"/>
  <c r="T8" i="10" a="1"/>
  <c r="T8" i="11" a="1"/>
  <c r="S21" i="9" a="1"/>
  <c r="T11" i="10" a="1"/>
  <c r="S19" i="9" a="1"/>
  <c r="V11" i="10" a="1"/>
  <c r="S11" i="10" a="1"/>
  <c r="T9" i="10" a="1"/>
  <c r="T30" i="14" l="1"/>
  <c r="T35" i="14"/>
  <c r="T39" i="13"/>
  <c r="T28" i="13"/>
  <c r="T41" i="13"/>
  <c r="T33" i="13"/>
  <c r="AC30" i="13"/>
  <c r="B30" i="13"/>
  <c r="AC35" i="13"/>
  <c r="B35" i="13"/>
  <c r="T40" i="13"/>
  <c r="T29" i="13"/>
  <c r="T8" i="11"/>
  <c r="AA29" i="11"/>
  <c r="B29" i="11"/>
  <c r="S34" i="11"/>
  <c r="AA33" i="11"/>
  <c r="B33" i="11"/>
  <c r="AA40" i="11"/>
  <c r="B40" i="11"/>
  <c r="B39" i="11"/>
  <c r="AA39" i="11"/>
  <c r="AA28" i="11"/>
  <c r="B28" i="11"/>
  <c r="AA41" i="11"/>
  <c r="B41" i="11"/>
  <c r="AA8" i="11"/>
  <c r="J8" i="11"/>
  <c r="AA8" i="10"/>
  <c r="B39" i="10"/>
  <c r="AA41" i="10"/>
  <c r="AA29" i="10"/>
  <c r="B28" i="10"/>
  <c r="AA33" i="10"/>
  <c r="S34" i="10"/>
  <c r="AA34" i="10" s="1"/>
  <c r="V9" i="10"/>
  <c r="M9" i="10" s="1"/>
  <c r="T9" i="10"/>
  <c r="K9" i="10" s="1"/>
  <c r="S9" i="10"/>
  <c r="J9" i="10" s="1"/>
  <c r="S11" i="10"/>
  <c r="AA11" i="10" s="1"/>
  <c r="T11" i="10"/>
  <c r="K11" i="10" s="1"/>
  <c r="V11" i="10"/>
  <c r="M11" i="10" s="1"/>
  <c r="U11" i="10"/>
  <c r="L11" i="10" s="1"/>
  <c r="T8" i="10"/>
  <c r="AB8" i="10" s="1"/>
  <c r="U9" i="10"/>
  <c r="L9" i="10" s="1"/>
  <c r="M10" i="9"/>
  <c r="AP10" i="9" s="1"/>
  <c r="AU10" i="9" s="1"/>
  <c r="AB10" i="9"/>
  <c r="AJ10" i="9" s="1"/>
  <c r="J10" i="9"/>
  <c r="AM10" i="9" s="1"/>
  <c r="AR10" i="9" s="1"/>
  <c r="J12" i="9"/>
  <c r="AM12" i="9" s="1"/>
  <c r="AR12" i="9" s="1"/>
  <c r="AB12" i="9"/>
  <c r="AJ12" i="9" s="1"/>
  <c r="AD12" i="9"/>
  <c r="AL12" i="9" s="1"/>
  <c r="AC12" i="9"/>
  <c r="AK12" i="9" s="1"/>
  <c r="K9" i="9"/>
  <c r="AA40" i="10"/>
  <c r="AC10" i="9"/>
  <c r="AK10" i="9" s="1"/>
  <c r="K12" i="9"/>
  <c r="AN12" i="9" s="1"/>
  <c r="AS12" i="9" s="1"/>
  <c r="L12" i="9"/>
  <c r="AO12" i="9" s="1"/>
  <c r="AT12" i="9" s="1"/>
  <c r="AA10" i="9"/>
  <c r="AI10" i="9" s="1"/>
  <c r="K10" i="9"/>
  <c r="AN10" i="9" s="1"/>
  <c r="AS10" i="9" s="1"/>
  <c r="AD10" i="9"/>
  <c r="AL10" i="9" s="1"/>
  <c r="S20" i="9"/>
  <c r="S18" i="9"/>
  <c r="S21" i="9"/>
  <c r="S19" i="9"/>
  <c r="AB9" i="9"/>
  <c r="AJ9" i="9" s="1"/>
  <c r="L10" i="9"/>
  <c r="AO10" i="9" s="1"/>
  <c r="AT10" i="9" s="1"/>
  <c r="M12" i="9"/>
  <c r="AP12" i="9" s="1"/>
  <c r="AU12" i="9" s="1"/>
  <c r="AA12" i="9"/>
  <c r="AI12" i="9" s="1"/>
  <c r="AA19" i="8"/>
  <c r="B19" i="8"/>
  <c r="AA18" i="8"/>
  <c r="B18" i="8"/>
  <c r="AA20" i="8"/>
  <c r="B20" i="8"/>
  <c r="AA17" i="8"/>
  <c r="B17" i="8"/>
  <c r="S18" i="10" a="1"/>
  <c r="S18" i="11" a="1"/>
  <c r="S20" i="10" a="1"/>
  <c r="S20" i="11" a="1"/>
  <c r="S17" i="10" a="1"/>
  <c r="S19" i="10" a="1"/>
  <c r="S19" i="11" a="1"/>
  <c r="S17" i="11" a="1"/>
  <c r="AC30" i="14" l="1"/>
  <c r="T30" i="15"/>
  <c r="B35" i="14"/>
  <c r="T35" i="15"/>
  <c r="B30" i="14"/>
  <c r="AC35" i="14"/>
  <c r="T28" i="14"/>
  <c r="T39" i="14"/>
  <c r="T29" i="14"/>
  <c r="T40" i="14"/>
  <c r="T41" i="14"/>
  <c r="T33" i="14"/>
  <c r="B33" i="14" s="1"/>
  <c r="T34" i="13"/>
  <c r="B33" i="13"/>
  <c r="AC33" i="13"/>
  <c r="B41" i="13"/>
  <c r="AC41" i="13"/>
  <c r="AC29" i="13"/>
  <c r="B29" i="13"/>
  <c r="AC28" i="13"/>
  <c r="B28" i="13"/>
  <c r="B40" i="13"/>
  <c r="AC40" i="13"/>
  <c r="AC39" i="13"/>
  <c r="B39" i="13"/>
  <c r="AA34" i="11"/>
  <c r="S17" i="11"/>
  <c r="S19" i="11"/>
  <c r="S20" i="11"/>
  <c r="S18" i="11"/>
  <c r="K9" i="11"/>
  <c r="AB9" i="11"/>
  <c r="AA9" i="11"/>
  <c r="J9" i="11"/>
  <c r="AC9" i="11"/>
  <c r="L9" i="11"/>
  <c r="M9" i="11"/>
  <c r="AD9" i="11"/>
  <c r="AB8" i="11"/>
  <c r="K8" i="11"/>
  <c r="K11" i="11"/>
  <c r="AB11" i="11"/>
  <c r="M11" i="11"/>
  <c r="AD11" i="11"/>
  <c r="L11" i="11"/>
  <c r="AC11" i="11"/>
  <c r="J11" i="11"/>
  <c r="AA11" i="11"/>
  <c r="AC11" i="10"/>
  <c r="K8" i="10"/>
  <c r="AD9" i="10"/>
  <c r="AC9" i="10"/>
  <c r="S18" i="10"/>
  <c r="AA18" i="10" s="1"/>
  <c r="S20" i="10"/>
  <c r="AA20" i="10" s="1"/>
  <c r="S19" i="10"/>
  <c r="B19" i="10" s="1"/>
  <c r="S17" i="10"/>
  <c r="B17" i="10" s="1"/>
  <c r="AA19" i="9"/>
  <c r="AB11" i="10"/>
  <c r="AA21" i="9"/>
  <c r="AA20" i="9"/>
  <c r="AA9" i="10"/>
  <c r="AD11" i="10"/>
  <c r="AB9" i="10"/>
  <c r="J11" i="10"/>
  <c r="AA18" i="9"/>
  <c r="B21" i="9"/>
  <c r="B18" i="9"/>
  <c r="B20" i="9"/>
  <c r="B19" i="9"/>
  <c r="AC35" i="15" l="1"/>
  <c r="AC30" i="15"/>
  <c r="B30" i="15"/>
  <c r="B35" i="15"/>
  <c r="AC41" i="14"/>
  <c r="T41" i="15"/>
  <c r="AC41" i="15" s="1"/>
  <c r="AC40" i="14"/>
  <c r="T40" i="15"/>
  <c r="B29" i="14"/>
  <c r="T29" i="15"/>
  <c r="B39" i="14"/>
  <c r="T39" i="15"/>
  <c r="B28" i="14"/>
  <c r="T28" i="15"/>
  <c r="AC33" i="14"/>
  <c r="T33" i="15"/>
  <c r="B33" i="15" s="1"/>
  <c r="AC28" i="14"/>
  <c r="AC39" i="14"/>
  <c r="B40" i="14"/>
  <c r="AC29" i="14"/>
  <c r="B41" i="14"/>
  <c r="AC34" i="13"/>
  <c r="T34" i="14"/>
  <c r="T34" i="15" s="1"/>
  <c r="T18" i="13"/>
  <c r="T20" i="13"/>
  <c r="T19" i="13"/>
  <c r="T17" i="13"/>
  <c r="AA18" i="11"/>
  <c r="B18" i="11"/>
  <c r="AA20" i="11"/>
  <c r="B20" i="11"/>
  <c r="AA19" i="11"/>
  <c r="B19" i="11"/>
  <c r="AA17" i="11"/>
  <c r="B17" i="11"/>
  <c r="B20" i="10"/>
  <c r="AA17" i="10"/>
  <c r="AA19" i="10"/>
  <c r="B18" i="10"/>
  <c r="B29" i="15" l="1"/>
  <c r="AC34" i="15"/>
  <c r="AC40" i="15"/>
  <c r="B41" i="15"/>
  <c r="AC33" i="15"/>
  <c r="B28" i="15"/>
  <c r="B39" i="15"/>
  <c r="AC39" i="15"/>
  <c r="AC29" i="15"/>
  <c r="B40" i="15"/>
  <c r="AC28" i="15"/>
  <c r="T17" i="14"/>
  <c r="T17" i="15" s="1"/>
  <c r="T20" i="14"/>
  <c r="T18" i="14"/>
  <c r="T19" i="14"/>
  <c r="AC34" i="14"/>
  <c r="AC17" i="13"/>
  <c r="B17" i="13"/>
  <c r="B19" i="13"/>
  <c r="AC19" i="13"/>
  <c r="AC20" i="13"/>
  <c r="B20" i="13"/>
  <c r="B18" i="13"/>
  <c r="AC18" i="13"/>
  <c r="B17" i="14" l="1"/>
  <c r="AC17" i="14"/>
  <c r="B19" i="14"/>
  <c r="T19" i="15"/>
  <c r="B19" i="15" s="1"/>
  <c r="B18" i="14"/>
  <c r="T18" i="15"/>
  <c r="B20" i="14"/>
  <c r="T20" i="15"/>
  <c r="AC18" i="14"/>
  <c r="AC20" i="14"/>
  <c r="AC19" i="14"/>
  <c r="AC17" i="15"/>
  <c r="B17" i="15"/>
  <c r="B18" i="15" l="1"/>
  <c r="B20" i="15"/>
  <c r="AC19" i="15"/>
  <c r="AC18" i="15"/>
  <c r="AC20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Nelms, Pam :</t>
        </r>
        <r>
          <rPr>
            <sz val="8"/>
            <color indexed="81"/>
            <rFont val="Tahoma"/>
            <family val="2"/>
          </rPr>
          <t xml:space="preserve">
Effective January 1 2018: Step Movment is allowed
</t>
        </r>
        <r>
          <rPr>
            <b/>
            <sz val="8"/>
            <color indexed="81"/>
            <rFont val="Tahoma"/>
            <family val="2"/>
          </rPr>
          <t xml:space="preserve">At the start of the first full pay period after February 1, 2018: </t>
        </r>
        <r>
          <rPr>
            <sz val="8"/>
            <color indexed="81"/>
            <rFont val="Tahoma"/>
            <family val="2"/>
          </rPr>
          <t>increase the hourly rates on the wage schedule, longevity schedule, assignment and certification premiums, and shift differentials by 2.5%.  
Safety Shoe Allowance remains $280 every two years 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Miller, Brenda (she/her/hers)</author>
  </authors>
  <commentList>
    <comment ref="AB11" authorId="0" shapeId="0" xr:uid="{73912582-8556-4174-9D01-06768D8CA49B}">
      <text>
        <r>
          <rPr>
            <b/>
            <sz val="9"/>
            <color indexed="81"/>
            <rFont val="Tahoma"/>
            <family val="2"/>
          </rPr>
          <t>Set at $0 in COMET</t>
        </r>
      </text>
    </comment>
    <comment ref="AC11" authorId="0" shapeId="0" xr:uid="{D4167727-AC2F-41CB-B93F-BC1BA6F6B2D3}">
      <text>
        <r>
          <rPr>
            <b/>
            <sz val="9"/>
            <color indexed="81"/>
            <rFont val="Tahoma"/>
            <family val="2"/>
          </rPr>
          <t>Set at $0 in COMET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<sst xmlns="http://schemas.openxmlformats.org/spreadsheetml/2006/main" count="1639" uniqueCount="212">
  <si>
    <t>Plumbers Union Local No. 15</t>
  </si>
  <si>
    <t>FLSA</t>
  </si>
  <si>
    <t>Sal Grd</t>
  </si>
  <si>
    <t>PTS</t>
  </si>
  <si>
    <t>Step 1</t>
  </si>
  <si>
    <t>Step 2</t>
  </si>
  <si>
    <t>Step 3</t>
  </si>
  <si>
    <t>Step 4</t>
  </si>
  <si>
    <t>N</t>
  </si>
  <si>
    <t>02235C</t>
  </si>
  <si>
    <t>07</t>
  </si>
  <si>
    <t>Commercial Meter Service Worker</t>
  </si>
  <si>
    <t>H</t>
  </si>
  <si>
    <t>05030C</t>
  </si>
  <si>
    <t>05</t>
  </si>
  <si>
    <t>Foreman Water Service Maintenance</t>
  </si>
  <si>
    <t>N/A</t>
  </si>
  <si>
    <t>08890C</t>
  </si>
  <si>
    <t>06</t>
  </si>
  <si>
    <t>Residential Meter Service Worker</t>
  </si>
  <si>
    <t>10940C</t>
  </si>
  <si>
    <t>01</t>
  </si>
  <si>
    <t>Water Works Service Worker I</t>
  </si>
  <si>
    <t>10950C</t>
  </si>
  <si>
    <t>03</t>
  </si>
  <si>
    <t>Water Works Service Worker II</t>
  </si>
  <si>
    <t>Longevity</t>
  </si>
  <si>
    <t>Provided that employees in this section shall receive the following longevity.</t>
  </si>
  <si>
    <t>These payments shall be based on a maximum of 80 hours bi-weekly.</t>
  </si>
  <si>
    <t xml:space="preserve"> per hour additional at the beginning of the 10th year of service</t>
  </si>
  <si>
    <t xml:space="preserve"> per hour additional at the beginning of the 15th year of service</t>
  </si>
  <si>
    <t xml:space="preserve"> per hour additional at the beginning of the 20th year of service</t>
  </si>
  <si>
    <t xml:space="preserve"> per hour additional at the beginning of the 25th year of service</t>
  </si>
  <si>
    <t>Safety Shoes</t>
  </si>
  <si>
    <t xml:space="preserve">Provided that employees who are required by the employer to wear safety shoes as a condition of employment shall </t>
  </si>
  <si>
    <t xml:space="preserve">be eligible to participate in the employer's Safety Shoe Expense Reimbursement Program and receive bi-annual  </t>
  </si>
  <si>
    <t xml:space="preserve">(every two years) reimbursement of up to two hundred eighty dollars ($280) for purchase or repair of safety shoes. </t>
  </si>
  <si>
    <t>Premiums</t>
  </si>
  <si>
    <t xml:space="preserve">Assignment Premiums: The following premiums will be paid for all hours worked in the eligible assignment. </t>
  </si>
  <si>
    <t xml:space="preserve">per hour for all hours worked as a Water Works Service Worker II assigned to a Gate Truck:  </t>
  </si>
  <si>
    <t>per hour for all hours worked as a Small Tapper.</t>
  </si>
  <si>
    <t>per hour for all hours worked as a Leak Investigator or Locator.</t>
  </si>
  <si>
    <t>per hour for all hours worked in a HAZWOPER contaminated environments as per OSHA/MNPCA</t>
  </si>
  <si>
    <t>per hour for all hours worked wearing protective equipment including respirator in HAZWOPER environment.</t>
  </si>
  <si>
    <t xml:space="preserve">Certification Premiums: Provided that employees are are eligible for ONE certification premium based </t>
  </si>
  <si>
    <t xml:space="preserve">upon their highest current MN Certificates, as follows: </t>
  </si>
  <si>
    <t>per hour for all hours paid when holding a valid MN "D" Water Operator certification</t>
  </si>
  <si>
    <t>per hour for all hours paid when holding a valid MN "C" Water Operator certification</t>
  </si>
  <si>
    <t>per hour for all hours paid when holding a valid MN "B" Water Operator certification</t>
  </si>
  <si>
    <t>per hour for all hours paid when holding a valid MN "A" Water Operator certification</t>
  </si>
  <si>
    <t>Shift Differential</t>
  </si>
  <si>
    <t xml:space="preserve">Employees who are scheduled to work a shift which begins between 12:00 noon and 2:59 p.m. shall be paid a shift differential of  </t>
  </si>
  <si>
    <t xml:space="preserve">per hour for all hours worked on such shifts. In addition, the $0.565 shift differential applies to all overtime hours worked </t>
  </si>
  <si>
    <t xml:space="preserve">whenever the same employee is authorized to come in early or stay over, working immediately adjacent to such a shift. </t>
  </si>
  <si>
    <t xml:space="preserve">Employees who are scheduled to work an 8-hour shift which begins between 3:00 p.m. and 5:59 a.m. shall be paid a shift differential of </t>
  </si>
  <si>
    <t xml:space="preserve">per hour for all hours worked on such shifts.  In addition, the $1.192 shift differential applies to all overtime hours worked </t>
  </si>
  <si>
    <t>Water Distribution Operator</t>
  </si>
  <si>
    <t>Senior Water Distribution Operator</t>
  </si>
  <si>
    <t xml:space="preserve">Provided that employees who are required by the employer to wear safety shoes as a condition of employment, </t>
  </si>
  <si>
    <t>per hour for all hours worked as a Water Works Service Worker II assigned to a Gate Truck.</t>
  </si>
  <si>
    <t xml:space="preserve">Certification Premiums: Provided that employees are eligible for ONE certification premium based </t>
  </si>
  <si>
    <t>per hour for all hours paid when holding a valid MN "C" Water Operator certification (except Senior Water Distribution Operator)</t>
  </si>
  <si>
    <t>NA</t>
  </si>
  <si>
    <t>Classification</t>
  </si>
  <si>
    <t>Date</t>
  </si>
  <si>
    <t>By</t>
  </si>
  <si>
    <t>Change</t>
  </si>
  <si>
    <t>Brenda</t>
  </si>
  <si>
    <t>Corrected formulas in 2019 salary schedule</t>
  </si>
  <si>
    <t>Pay Type</t>
  </si>
  <si>
    <t>OTC Code</t>
  </si>
  <si>
    <t>Job Code</t>
  </si>
  <si>
    <t>Classification Grade</t>
  </si>
  <si>
    <t xml:space="preserve">   Effective at the start of the first full pay period after February 1, 2018: </t>
  </si>
  <si>
    <t xml:space="preserve">   Step movement is allowed</t>
  </si>
  <si>
    <t>52917C</t>
  </si>
  <si>
    <t>Trainee</t>
  </si>
  <si>
    <t>Added Water Distriution Operator Trainee per e-mail from Josh w/an LOA that indicates the position was created from Joe Hatch</t>
  </si>
  <si>
    <t>Unhid WDO and SWDO
Added asterisk and note that employeees will not be eligible for future pay increases and will be eliminated effective 12/8/21 - per Joe 10/28/19</t>
  </si>
  <si>
    <t>?</t>
  </si>
  <si>
    <t>Holland/Nastassia</t>
  </si>
  <si>
    <t>Effective 2/3/2019: 2.5% increase to all Classification Wages. Step Movment is allowed
2.5% increase applied to Longevity
Safety Shoe allowance converted to an hourly rate of $0.07/hour and added prior to the application of the 2.5% increase.</t>
  </si>
  <si>
    <t>Commercial Meter Service Worker**</t>
  </si>
  <si>
    <t>Residential Meter Service Worker**</t>
  </si>
  <si>
    <t>Water Works Service Worker I**</t>
  </si>
  <si>
    <t>Water Works Service Worker II**</t>
  </si>
  <si>
    <t>Grade</t>
  </si>
  <si>
    <t>Water Distribution Operator Trainee</t>
  </si>
  <si>
    <t>AFSCME Water Maintenance (CAW)</t>
  </si>
  <si>
    <t xml:space="preserve">   Effective at the start of the first full pay period after October 10, 2019: </t>
  </si>
  <si>
    <t>52938C</t>
  </si>
  <si>
    <t>52939C</t>
  </si>
  <si>
    <t>02</t>
  </si>
  <si>
    <t>updated job code and grade for WDO/SrWDO</t>
  </si>
  <si>
    <t>* *Wages for these titles will not inccrease, however, step movement is allowed. These titles will be eliminated effective 12/8/2021.</t>
  </si>
  <si>
    <t>completed audit</t>
  </si>
  <si>
    <t>52951C</t>
  </si>
  <si>
    <t>09</t>
  </si>
  <si>
    <t>Water Loss Specialist</t>
  </si>
  <si>
    <t>Added 3/1/2021 tab: 2.5% for base rates, longevity pay, &amp; premiums; 15% for shift differential</t>
  </si>
  <si>
    <t>Added 5/1/2020 tab: 2.5% for base rates, longevity pay, &amp; premiums; 15% for shift differential</t>
  </si>
  <si>
    <t>Added 3/1/2022 tab: 2.5% for base rates, longevity pay, &amp; premiums; 15% for shift differential</t>
  </si>
  <si>
    <t xml:space="preserve">   Effective May 1, 2020: </t>
  </si>
  <si>
    <t>Base Incr %:</t>
  </si>
  <si>
    <t>Shift Diff Incr %</t>
  </si>
  <si>
    <t>effective 2/3/2019, the safety shoe rate was added to hourly rate as:</t>
  </si>
  <si>
    <t>per hour</t>
  </si>
  <si>
    <t xml:space="preserve">   Effective March 1, 2021: </t>
  </si>
  <si>
    <t xml:space="preserve">   Effective March 1, 2022: </t>
  </si>
  <si>
    <t>Shift Diff Incr %2</t>
  </si>
  <si>
    <t>Removed 2.5% base rate increases for Commercial &amp; Residential Meter Service Workers and Worker I &amp; II - per Joe 3/10/2020</t>
  </si>
  <si>
    <t>Changed 3:00 p.m. and 5:59 a.m. shift premium from 15% to 2.5% per Joe 3/10/2020</t>
  </si>
  <si>
    <t>Removed 05030C Foreman Water Service Maintenance per Joe. The job was not represented by CAW when it switched over from CPL</t>
  </si>
  <si>
    <t>04</t>
  </si>
  <si>
    <t>Corrected job grad for 52917C Water Distribution Operator Trainee from 1 to 04</t>
  </si>
  <si>
    <t>Corrected job grade for Commercial Meter Service Worker from 07 to 05</t>
  </si>
  <si>
    <t>Corrected job grade for Water Works Service Worker from 01 to 07</t>
  </si>
  <si>
    <t>CAWTAP</t>
  </si>
  <si>
    <t>CAWGTT</t>
  </si>
  <si>
    <t>CAWLEK</t>
  </si>
  <si>
    <t>CAWHWP</t>
  </si>
  <si>
    <t>CAWRSP</t>
  </si>
  <si>
    <t>CAWWOA</t>
  </si>
  <si>
    <t>CAWWOB</t>
  </si>
  <si>
    <t>CAWWOC</t>
  </si>
  <si>
    <t>CAWEVE</t>
  </si>
  <si>
    <t>CAWNIT</t>
  </si>
  <si>
    <t>Year 10</t>
  </si>
  <si>
    <t>Year 15</t>
  </si>
  <si>
    <t>Year 20</t>
  </si>
  <si>
    <t>Year 25</t>
  </si>
  <si>
    <t>TL-Gate Truck Premium-CAW</t>
  </si>
  <si>
    <t>TL-Small Taper Premium-CAW</t>
  </si>
  <si>
    <t>TL-Leak Investigator/Loctr-CAW</t>
  </si>
  <si>
    <t>TL-Hazwoper-CAW</t>
  </si>
  <si>
    <t>TL-Respirator-CAW</t>
  </si>
  <si>
    <t>Water Operator Certification-C</t>
  </si>
  <si>
    <t>Water Operator Certification-B</t>
  </si>
  <si>
    <t>Water Operator Certification-A</t>
  </si>
  <si>
    <t>TL-Afternoon Shift Premium-CAW</t>
  </si>
  <si>
    <t>TL-Night Shift Premium-CPL</t>
  </si>
  <si>
    <t>Job Title</t>
  </si>
  <si>
    <t>Title</t>
  </si>
  <si>
    <t>Pulling Data From:</t>
  </si>
  <si>
    <t>DataMar2021</t>
  </si>
  <si>
    <t>BaseIncrPerc2022</t>
  </si>
  <si>
    <t>ShiftIncrPerc2022</t>
  </si>
  <si>
    <t>ShiftIncrPerc2022v2</t>
  </si>
  <si>
    <t>Update</t>
  </si>
  <si>
    <t>Y</t>
  </si>
  <si>
    <t>Class Grd</t>
  </si>
  <si>
    <t xml:space="preserve">per hour for all hours worked on such shifts.  In addition, the $1.221 shift differential applies to all overtime hours worked </t>
  </si>
  <si>
    <t xml:space="preserve">per hour for all hours worked on such shifts.  In addition, the $1.252 shift differential applies to all overtime hours worked </t>
  </si>
  <si>
    <t xml:space="preserve">per hour for all hours worked on such shifts.  In addition, the $1.283 shift differential applies to all overtime hours worked </t>
  </si>
  <si>
    <t>CAWWKE</t>
  </si>
  <si>
    <t>DataMarch2022</t>
  </si>
  <si>
    <t>TL-Lrg &amp; Sml Taper Premium-CAW</t>
  </si>
  <si>
    <t>ShoePremium</t>
  </si>
  <si>
    <t>LeakLocaterPremium</t>
  </si>
  <si>
    <t>LeakLocaterPrem2</t>
  </si>
  <si>
    <r>
      <t xml:space="preserve">Certification Premiums: </t>
    </r>
    <r>
      <rPr>
        <sz val="11"/>
        <rFont val="Calibri"/>
        <family val="2"/>
        <scheme val="minor"/>
      </rPr>
      <t xml:space="preserve">Provided that employees are eligible for ONE certification premium based </t>
    </r>
  </si>
  <si>
    <t>*For Trainee only, move to Step 2 after 6 months of employment and completion of a satisfactory performance review</t>
  </si>
  <si>
    <t>add</t>
  </si>
  <si>
    <t>Weekend shift-CAW</t>
  </si>
  <si>
    <t>CAWGLA</t>
  </si>
  <si>
    <t>Gate Truck Lead Assignment</t>
  </si>
  <si>
    <t>CAWCMT</t>
  </si>
  <si>
    <t>Commercial Meter Testing (on-site)</t>
  </si>
  <si>
    <t xml:space="preserve">upon their highest current MN Water Supply Operator Certificates, as follows: </t>
  </si>
  <si>
    <t>per hour for all hours paid when holding a valid MN "C" Water Operator certification (except Senior Water Distribution Operator &amp; Water Loss Specialist)</t>
  </si>
  <si>
    <t>Shift Differentials  (regularly scheduled - see Agreement Section 9.07)</t>
  </si>
  <si>
    <t>between the hours of 6:00 am and 2:59 pm on Saturday, Sunday, or a recognized holiday.</t>
  </si>
  <si>
    <t>Afternoon/Weekend Shift Differential: regularly scheduled shift begins on a weekday between 12:00 noon and 2:59 pm or</t>
  </si>
  <si>
    <t>Gate Truck Lead</t>
  </si>
  <si>
    <t>Gate Truck</t>
  </si>
  <si>
    <t>Tapping (Small and Large taps)</t>
  </si>
  <si>
    <t>Respirator</t>
  </si>
  <si>
    <t>Commerical Meter testing</t>
  </si>
  <si>
    <t>Assignment Premiums (as worked, see Agreement Section 9.08 for conditions)</t>
  </si>
  <si>
    <t>BaseIncrPerc2023</t>
  </si>
  <si>
    <t>BaseIncrPerc2024</t>
  </si>
  <si>
    <t>DataJan2023</t>
  </si>
  <si>
    <t>BaseIncrPerc2025</t>
  </si>
  <si>
    <t>DataJan2024</t>
  </si>
  <si>
    <t>Last updated May 18, 2023</t>
  </si>
  <si>
    <t>Evening Shift Differential: regularly-scheduled shift begins between 3:00 pm and 5:59 am on any day</t>
  </si>
  <si>
    <t>Marie</t>
  </si>
  <si>
    <t>Added Water Loss &amp; Service Connection Inspector</t>
  </si>
  <si>
    <t>59489C</t>
  </si>
  <si>
    <t>10</t>
  </si>
  <si>
    <t>Water Loss &amp; Service Connection Inspector</t>
  </si>
  <si>
    <t>City of Minneapolis</t>
  </si>
  <si>
    <t>Last updated 12/10/2024</t>
  </si>
  <si>
    <t>Page 1 of 1</t>
  </si>
  <si>
    <t>HRIS/Payroll</t>
  </si>
  <si>
    <t>Effective 1/1/2025</t>
  </si>
  <si>
    <t>Removed Water Loss Specialist per Annika Bankston. Job was replaced by Water Loss &amp; Service Connection Inspector</t>
  </si>
  <si>
    <t>Last updated October 29, 2025</t>
  </si>
  <si>
    <t>Effective November 7, 2025</t>
  </si>
  <si>
    <t>Last updated February 13, 2026</t>
  </si>
  <si>
    <t>Effective January 1, 2026</t>
  </si>
  <si>
    <t>DataNov25</t>
  </si>
  <si>
    <t>BaseIncrPerc2026</t>
  </si>
  <si>
    <t xml:space="preserve">Internal Equity </t>
  </si>
  <si>
    <t>Step 5</t>
  </si>
  <si>
    <t>BaseIncrPerc2027</t>
  </si>
  <si>
    <t>DataJan26</t>
  </si>
  <si>
    <t>DataJan27</t>
  </si>
  <si>
    <t>BaseIncrPerc2028</t>
  </si>
  <si>
    <t>Effective January 1, 2027</t>
  </si>
  <si>
    <t>Effective January 1, 2028</t>
  </si>
  <si>
    <t>Last updated June 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</si>
</sst>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General_)"/>
    <numFmt numFmtId="165" formatCode="0.000"/>
    <numFmt numFmtId="166" formatCode="&quot;$&quot;#,##0.000"/>
    <numFmt numFmtId="167" formatCode="#,##0.000"/>
    <numFmt numFmtId="168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/>
    <xf numFmtId="0" fontId="5" fillId="0" borderId="0" applyNumberFormat="0" applyFont="0" applyFill="0" applyBorder="0" applyAlignment="0" applyProtection="0">
      <alignment horizontal="left"/>
    </xf>
    <xf numFmtId="164" fontId="1" fillId="0" borderId="0"/>
    <xf numFmtId="9" fontId="15" fillId="0" borderId="0" applyFont="0" applyFill="0" applyBorder="0" applyAlignment="0" applyProtection="0"/>
  </cellStyleXfs>
  <cellXfs count="133">
    <xf numFmtId="0" fontId="0" fillId="0" borderId="0" xfId="0"/>
    <xf numFmtId="164" fontId="2" fillId="0" borderId="0" xfId="1" applyFont="1" applyFill="1" applyAlignment="1" applyProtection="1">
      <alignment horizontal="left"/>
      <protection hidden="1"/>
    </xf>
    <xf numFmtId="164" fontId="3" fillId="0" borderId="0" xfId="1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Protection="1">
      <protection hidden="1"/>
    </xf>
    <xf numFmtId="164" fontId="3" fillId="0" borderId="0" xfId="1" applyFont="1" applyFill="1" applyAlignment="1" applyProtection="1">
      <alignment horizontal="left"/>
      <protection hidden="1"/>
    </xf>
    <xf numFmtId="0" fontId="4" fillId="0" borderId="0" xfId="0" applyFont="1" applyFill="1" applyBorder="1" applyProtection="1">
      <protection hidden="1"/>
    </xf>
    <xf numFmtId="164" fontId="3" fillId="0" borderId="1" xfId="1" applyFont="1" applyFill="1" applyBorder="1" applyAlignment="1" applyProtection="1">
      <alignment horizontal="center" wrapText="1"/>
      <protection hidden="1"/>
    </xf>
    <xf numFmtId="164" fontId="3" fillId="0" borderId="1" xfId="1" applyFont="1" applyFill="1" applyBorder="1" applyAlignment="1" applyProtection="1">
      <alignment horizontal="left" wrapText="1"/>
      <protection hidden="1"/>
    </xf>
    <xf numFmtId="164" fontId="3" fillId="0" borderId="0" xfId="1" applyFont="1" applyFill="1" applyBorder="1" applyAlignment="1" applyProtection="1">
      <alignment horizontal="center" wrapText="1"/>
      <protection hidden="1"/>
    </xf>
    <xf numFmtId="0" fontId="4" fillId="0" borderId="0" xfId="0" applyFont="1" applyFill="1" applyAlignment="1" applyProtection="1">
      <alignment wrapText="1"/>
      <protection hidden="1"/>
    </xf>
    <xf numFmtId="0" fontId="4" fillId="0" borderId="0" xfId="2" applyFont="1" applyFill="1" applyAlignment="1" applyProtection="1">
      <alignment horizontal="center"/>
      <protection hidden="1"/>
    </xf>
    <xf numFmtId="0" fontId="4" fillId="0" borderId="0" xfId="2" applyFont="1" applyFill="1" applyAlignment="1" applyProtection="1">
      <protection hidden="1"/>
    </xf>
    <xf numFmtId="0" fontId="4" fillId="0" borderId="0" xfId="2" quotePrefix="1" applyFont="1" applyFill="1" applyAlignment="1" applyProtection="1">
      <alignment horizontal="center"/>
      <protection hidden="1"/>
    </xf>
    <xf numFmtId="165" fontId="4" fillId="0" borderId="0" xfId="0" applyNumberFormat="1" applyFont="1" applyFill="1" applyProtection="1">
      <protection hidden="1"/>
    </xf>
    <xf numFmtId="9" fontId="4" fillId="0" borderId="0" xfId="0" applyNumberFormat="1" applyFont="1" applyFill="1" applyBorder="1" applyProtection="1">
      <protection hidden="1"/>
    </xf>
    <xf numFmtId="165" fontId="4" fillId="0" borderId="0" xfId="0" applyNumberFormat="1" applyFont="1" applyFill="1" applyBorder="1" applyProtection="1">
      <protection hidden="1"/>
    </xf>
    <xf numFmtId="164" fontId="3" fillId="0" borderId="0" xfId="1" applyFont="1" applyFill="1" applyProtection="1">
      <protection hidden="1"/>
    </xf>
    <xf numFmtId="164" fontId="4" fillId="0" borderId="0" xfId="1" applyFont="1" applyFill="1" applyBorder="1" applyAlignment="1" applyProtection="1">
      <alignment horizontal="left"/>
      <protection hidden="1"/>
    </xf>
    <xf numFmtId="164" fontId="4" fillId="0" borderId="0" xfId="1" applyFont="1" applyFill="1" applyBorder="1" applyAlignment="1" applyProtection="1">
      <alignment horizontal="center"/>
      <protection hidden="1"/>
    </xf>
    <xf numFmtId="166" fontId="4" fillId="0" borderId="0" xfId="1" applyNumberFormat="1" applyFont="1" applyFill="1" applyBorder="1" applyAlignment="1" applyProtection="1">
      <protection hidden="1"/>
    </xf>
    <xf numFmtId="164" fontId="3" fillId="0" borderId="0" xfId="1" applyFont="1" applyFill="1" applyBorder="1" applyAlignment="1" applyProtection="1">
      <alignment horizontal="center"/>
      <protection hidden="1"/>
    </xf>
    <xf numFmtId="166" fontId="4" fillId="0" borderId="0" xfId="0" applyNumberFormat="1" applyFont="1" applyFill="1" applyBorder="1" applyProtection="1">
      <protection hidden="1"/>
    </xf>
    <xf numFmtId="164" fontId="3" fillId="0" borderId="0" xfId="1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166" fontId="4" fillId="0" borderId="0" xfId="1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Protection="1">
      <protection hidden="1"/>
    </xf>
    <xf numFmtId="3" fontId="6" fillId="0" borderId="0" xfId="1" applyNumberFormat="1" applyFont="1" applyFill="1" applyBorder="1" applyAlignment="1" applyProtection="1">
      <alignment horizontal="right"/>
      <protection hidden="1"/>
    </xf>
    <xf numFmtId="3" fontId="6" fillId="0" borderId="0" xfId="1" applyNumberFormat="1" applyFont="1" applyFill="1" applyBorder="1" applyAlignment="1" applyProtection="1">
      <alignment horizontal="center"/>
      <protection hidden="1"/>
    </xf>
    <xf numFmtId="164" fontId="6" fillId="0" borderId="0" xfId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 indent="1"/>
      <protection hidden="1"/>
    </xf>
    <xf numFmtId="3" fontId="7" fillId="0" borderId="0" xfId="1" applyNumberFormat="1" applyFont="1" applyFill="1" applyBorder="1" applyAlignment="1" applyProtection="1">
      <alignment horizontal="right"/>
      <protection hidden="1"/>
    </xf>
    <xf numFmtId="3" fontId="7" fillId="0" borderId="0" xfId="1" applyNumberFormat="1" applyFont="1" applyFill="1" applyBorder="1" applyAlignment="1" applyProtection="1">
      <alignment horizontal="center"/>
      <protection hidden="1"/>
    </xf>
    <xf numFmtId="164" fontId="7" fillId="0" borderId="0" xfId="1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Protection="1"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Fill="1" applyBorder="1" applyAlignment="1" applyProtection="1">
      <alignment horizontal="left" indent="1"/>
      <protection hidden="1"/>
    </xf>
    <xf numFmtId="3" fontId="4" fillId="0" borderId="0" xfId="1" applyNumberFormat="1" applyFont="1" applyFill="1" applyBorder="1" applyAlignment="1" applyProtection="1">
      <alignment horizontal="left"/>
      <protection hidden="1"/>
    </xf>
    <xf numFmtId="165" fontId="7" fillId="0" borderId="0" xfId="0" applyNumberFormat="1" applyFont="1" applyFill="1" applyBorder="1" applyAlignment="1" applyProtection="1">
      <alignment horizontal="center"/>
      <protection hidden="1"/>
    </xf>
    <xf numFmtId="164" fontId="7" fillId="0" borderId="0" xfId="1" applyFont="1" applyFill="1" applyBorder="1" applyAlignment="1" applyProtection="1">
      <alignment horizontal="left"/>
      <protection hidden="1"/>
    </xf>
    <xf numFmtId="167" fontId="4" fillId="0" borderId="0" xfId="0" applyNumberFormat="1" applyFont="1" applyFill="1" applyProtection="1">
      <protection hidden="1"/>
    </xf>
    <xf numFmtId="0" fontId="10" fillId="0" borderId="0" xfId="0" applyFont="1" applyFill="1"/>
    <xf numFmtId="164" fontId="3" fillId="0" borderId="1" xfId="1" applyFont="1" applyFill="1" applyBorder="1" applyAlignment="1" applyProtection="1">
      <alignment horizontal="center" textRotation="90" wrapText="1"/>
      <protection hidden="1"/>
    </xf>
    <xf numFmtId="14" fontId="3" fillId="0" borderId="0" xfId="3" applyNumberFormat="1" applyFont="1" applyFill="1" applyBorder="1" applyAlignment="1" applyProtection="1">
      <alignment horizontal="center" vertical="top"/>
      <protection hidden="1"/>
    </xf>
    <xf numFmtId="164" fontId="3" fillId="0" borderId="0" xfId="3" applyFont="1" applyFill="1" applyBorder="1" applyAlignment="1" applyProtection="1">
      <alignment vertical="top"/>
      <protection hidden="1"/>
    </xf>
    <xf numFmtId="164" fontId="3" fillId="0" borderId="0" xfId="3" applyFont="1" applyFill="1" applyBorder="1" applyAlignment="1" applyProtection="1">
      <alignment vertical="top" wrapText="1"/>
      <protection hidden="1"/>
    </xf>
    <xf numFmtId="14" fontId="4" fillId="0" borderId="0" xfId="3" applyNumberFormat="1" applyFont="1" applyFill="1" applyBorder="1" applyAlignment="1" applyProtection="1">
      <alignment horizontal="center" vertical="top"/>
      <protection hidden="1"/>
    </xf>
    <xf numFmtId="0" fontId="4" fillId="0" borderId="0" xfId="0" applyFont="1" applyFill="1" applyBorder="1" applyAlignment="1" applyProtection="1">
      <alignment vertical="top"/>
      <protection hidden="1"/>
    </xf>
    <xf numFmtId="164" fontId="4" fillId="0" borderId="0" xfId="3" applyFont="1" applyFill="1" applyBorder="1" applyAlignment="1" applyProtection="1">
      <alignment horizontal="left" vertical="top" wrapText="1"/>
      <protection hidden="1"/>
    </xf>
    <xf numFmtId="166" fontId="3" fillId="0" borderId="0" xfId="1" applyNumberFormat="1" applyFont="1" applyFill="1" applyBorder="1" applyAlignment="1" applyProtection="1">
      <alignment horizontal="center"/>
      <protection hidden="1"/>
    </xf>
    <xf numFmtId="166" fontId="4" fillId="0" borderId="0" xfId="0" applyNumberFormat="1" applyFont="1" applyFill="1" applyProtection="1">
      <protection hidden="1"/>
    </xf>
    <xf numFmtId="166" fontId="4" fillId="0" borderId="0" xfId="0" applyNumberFormat="1" applyFont="1" applyFill="1" applyAlignment="1" applyProtection="1">
      <alignment horizontal="center"/>
      <protection hidden="1"/>
    </xf>
    <xf numFmtId="14" fontId="0" fillId="0" borderId="0" xfId="0" applyNumberFormat="1"/>
    <xf numFmtId="0" fontId="0" fillId="0" borderId="0" xfId="0" applyAlignment="1">
      <alignment wrapText="1"/>
    </xf>
    <xf numFmtId="168" fontId="4" fillId="0" borderId="0" xfId="0" applyNumberFormat="1" applyFont="1" applyFill="1" applyBorder="1" applyProtection="1">
      <protection hidden="1"/>
    </xf>
    <xf numFmtId="0" fontId="4" fillId="0" borderId="1" xfId="2" applyFont="1" applyFill="1" applyBorder="1" applyAlignment="1" applyProtection="1">
      <alignment horizontal="center"/>
      <protection hidden="1"/>
    </xf>
    <xf numFmtId="0" fontId="4" fillId="0" borderId="1" xfId="0" applyFont="1" applyFill="1" applyBorder="1" applyProtection="1">
      <protection hidden="1"/>
    </xf>
    <xf numFmtId="0" fontId="4" fillId="0" borderId="1" xfId="0" applyFont="1" applyFill="1" applyBorder="1" applyAlignment="1" applyProtection="1">
      <alignment horizontal="center"/>
      <protection hidden="1"/>
    </xf>
    <xf numFmtId="0" fontId="11" fillId="0" borderId="0" xfId="0" applyFont="1" applyFill="1" applyProtection="1">
      <protection hidden="1"/>
    </xf>
    <xf numFmtId="166" fontId="4" fillId="0" borderId="1" xfId="0" applyNumberFormat="1" applyFont="1" applyFill="1" applyBorder="1" applyProtection="1">
      <protection hidden="1"/>
    </xf>
    <xf numFmtId="0" fontId="4" fillId="0" borderId="0" xfId="2" applyFont="1" applyFill="1" applyAlignment="1" applyProtection="1">
      <alignment wrapText="1"/>
      <protection hidden="1"/>
    </xf>
    <xf numFmtId="49" fontId="4" fillId="0" borderId="0" xfId="2" applyNumberFormat="1" applyFont="1" applyFill="1" applyAlignment="1" applyProtection="1">
      <alignment horizontal="center"/>
      <protection hidden="1"/>
    </xf>
    <xf numFmtId="0" fontId="0" fillId="0" borderId="1" xfId="0" applyBorder="1"/>
    <xf numFmtId="49" fontId="4" fillId="0" borderId="1" xfId="2" applyNumberFormat="1" applyFont="1" applyFill="1" applyBorder="1" applyAlignment="1" applyProtection="1">
      <alignment horizontal="center"/>
      <protection hidden="1"/>
    </xf>
    <xf numFmtId="49" fontId="3" fillId="0" borderId="0" xfId="1" applyNumberFormat="1" applyFont="1" applyFill="1" applyAlignment="1" applyProtection="1">
      <alignment horizontal="center"/>
      <protection hidden="1"/>
    </xf>
    <xf numFmtId="49" fontId="3" fillId="0" borderId="1" xfId="1" applyNumberFormat="1" applyFont="1" applyFill="1" applyBorder="1" applyAlignment="1" applyProtection="1">
      <alignment horizontal="center" wrapText="1"/>
      <protection hidden="1"/>
    </xf>
    <xf numFmtId="49" fontId="4" fillId="0" borderId="0" xfId="2" quotePrefix="1" applyNumberFormat="1" applyFont="1" applyFill="1" applyAlignment="1" applyProtection="1">
      <alignment horizontal="center"/>
      <protection hidden="1"/>
    </xf>
    <xf numFmtId="49" fontId="4" fillId="0" borderId="0" xfId="1" applyNumberFormat="1" applyFont="1" applyFill="1" applyBorder="1" applyAlignment="1" applyProtection="1">
      <alignment horizontal="center"/>
      <protection hidden="1"/>
    </xf>
    <xf numFmtId="49" fontId="4" fillId="0" borderId="0" xfId="0" applyNumberFormat="1" applyFont="1" applyFill="1" applyBorder="1" applyProtection="1">
      <protection hidden="1"/>
    </xf>
    <xf numFmtId="49" fontId="3" fillId="0" borderId="0" xfId="1" applyNumberFormat="1" applyFont="1" applyFill="1" applyBorder="1" applyAlignment="1" applyProtection="1">
      <alignment horizontal="center"/>
      <protection hidden="1"/>
    </xf>
    <xf numFmtId="49" fontId="3" fillId="0" borderId="0" xfId="0" applyNumberFormat="1" applyFont="1" applyFill="1" applyProtection="1">
      <protection hidden="1"/>
    </xf>
    <xf numFmtId="49" fontId="4" fillId="0" borderId="0" xfId="0" applyNumberFormat="1" applyFont="1" applyFill="1" applyProtection="1">
      <protection hidden="1"/>
    </xf>
    <xf numFmtId="49" fontId="6" fillId="0" borderId="0" xfId="1" applyNumberFormat="1" applyFont="1" applyFill="1" applyBorder="1" applyAlignment="1" applyProtection="1">
      <alignment horizontal="center"/>
      <protection hidden="1"/>
    </xf>
    <xf numFmtId="49" fontId="7" fillId="0" borderId="0" xfId="1" applyNumberFormat="1" applyFont="1" applyFill="1" applyBorder="1" applyAlignment="1" applyProtection="1">
      <alignment horizontal="center"/>
      <protection hidden="1"/>
    </xf>
    <xf numFmtId="166" fontId="4" fillId="0" borderId="0" xfId="0" applyNumberFormat="1" applyFont="1" applyFill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wrapText="1"/>
      <protection hidden="1"/>
    </xf>
    <xf numFmtId="166" fontId="4" fillId="2" borderId="0" xfId="0" applyNumberFormat="1" applyFont="1" applyFill="1" applyProtection="1">
      <protection hidden="1"/>
    </xf>
    <xf numFmtId="0" fontId="3" fillId="2" borderId="0" xfId="0" applyFont="1" applyFill="1" applyProtection="1">
      <protection hidden="1"/>
    </xf>
    <xf numFmtId="168" fontId="4" fillId="2" borderId="0" xfId="0" applyNumberFormat="1" applyFont="1" applyFill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10" fillId="0" borderId="0" xfId="0" applyFont="1" applyFill="1" applyProtection="1">
      <protection hidden="1"/>
    </xf>
    <xf numFmtId="0" fontId="3" fillId="2" borderId="1" xfId="0" applyFont="1" applyFill="1" applyBorder="1" applyAlignment="1" applyProtection="1">
      <alignment wrapText="1"/>
      <protection hidden="1"/>
    </xf>
    <xf numFmtId="164" fontId="3" fillId="2" borderId="1" xfId="1" applyFont="1" applyFill="1" applyBorder="1" applyAlignment="1" applyProtection="1">
      <alignment horizontal="center" wrapText="1"/>
      <protection hidden="1"/>
    </xf>
    <xf numFmtId="0" fontId="4" fillId="3" borderId="0" xfId="0" applyFont="1" applyFill="1" applyProtection="1"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164" fontId="3" fillId="3" borderId="1" xfId="1" applyFont="1" applyFill="1" applyBorder="1" applyAlignment="1" applyProtection="1">
      <alignment horizontal="center" wrapText="1"/>
      <protection hidden="1"/>
    </xf>
    <xf numFmtId="49" fontId="4" fillId="3" borderId="0" xfId="0" applyNumberFormat="1" applyFont="1" applyFill="1" applyAlignment="1" applyProtection="1">
      <alignment horizontal="center"/>
      <protection hidden="1"/>
    </xf>
    <xf numFmtId="166" fontId="4" fillId="3" borderId="0" xfId="0" applyNumberFormat="1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4" fillId="4" borderId="0" xfId="0" applyFont="1" applyFill="1" applyProtection="1">
      <protection hidden="1"/>
    </xf>
    <xf numFmtId="0" fontId="3" fillId="4" borderId="1" xfId="0" applyFont="1" applyFill="1" applyBorder="1" applyAlignment="1" applyProtection="1">
      <alignment horizontal="center" wrapText="1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164" fontId="3" fillId="4" borderId="1" xfId="1" applyFont="1" applyFill="1" applyBorder="1" applyAlignment="1" applyProtection="1">
      <alignment horizontal="center" wrapText="1"/>
      <protection hidden="1"/>
    </xf>
    <xf numFmtId="49" fontId="4" fillId="4" borderId="0" xfId="0" applyNumberFormat="1" applyFont="1" applyFill="1" applyProtection="1">
      <protection hidden="1"/>
    </xf>
    <xf numFmtId="166" fontId="4" fillId="4" borderId="0" xfId="0" applyNumberFormat="1" applyFont="1" applyFill="1" applyProtection="1">
      <protection hidden="1"/>
    </xf>
    <xf numFmtId="0" fontId="3" fillId="4" borderId="0" xfId="0" applyFont="1" applyFill="1" applyProtection="1">
      <protection hidden="1"/>
    </xf>
    <xf numFmtId="10" fontId="4" fillId="3" borderId="0" xfId="0" applyNumberFormat="1" applyFont="1" applyFill="1" applyAlignment="1" applyProtection="1">
      <alignment horizontal="center"/>
      <protection hidden="1"/>
    </xf>
    <xf numFmtId="17" fontId="4" fillId="3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0" fontId="4" fillId="0" borderId="0" xfId="0" applyFont="1" applyFill="1" applyAlignment="1" applyProtection="1">
      <alignment horizontal="left" indent="1"/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3" fillId="0" borderId="0" xfId="0" applyFont="1" applyFill="1" applyAlignment="1" applyProtection="1">
      <alignment horizontal="left" indent="1"/>
      <protection hidden="1"/>
    </xf>
    <xf numFmtId="0" fontId="4" fillId="0" borderId="0" xfId="0" applyFont="1" applyFill="1" applyBorder="1" applyAlignment="1" applyProtection="1">
      <alignment horizontal="left" indent="2"/>
      <protection hidden="1"/>
    </xf>
    <xf numFmtId="0" fontId="3" fillId="0" borderId="0" xfId="0" applyFont="1" applyFill="1" applyBorder="1" applyAlignment="1" applyProtection="1">
      <alignment horizontal="left" indent="1"/>
      <protection hidden="1"/>
    </xf>
    <xf numFmtId="0" fontId="4" fillId="0" borderId="0" xfId="0" applyFont="1" applyFill="1" applyAlignment="1" applyProtection="1">
      <alignment horizontal="left" indent="2"/>
      <protection hidden="1"/>
    </xf>
    <xf numFmtId="166" fontId="3" fillId="4" borderId="1" xfId="1" applyNumberFormat="1" applyFont="1" applyFill="1" applyBorder="1" applyAlignment="1" applyProtection="1">
      <alignment horizontal="center" wrapText="1"/>
      <protection hidden="1"/>
    </xf>
    <xf numFmtId="166" fontId="3" fillId="4" borderId="0" xfId="0" applyNumberFormat="1" applyFont="1" applyFill="1" applyProtection="1">
      <protection hidden="1"/>
    </xf>
    <xf numFmtId="164" fontId="4" fillId="0" borderId="0" xfId="1" applyFont="1" applyFill="1" applyAlignment="1" applyProtection="1">
      <alignment horizontal="left" indent="1"/>
      <protection hidden="1"/>
    </xf>
    <xf numFmtId="164" fontId="4" fillId="0" borderId="0" xfId="1" applyFont="1" applyFill="1" applyAlignment="1" applyProtection="1">
      <alignment horizontal="left"/>
      <protection hidden="1"/>
    </xf>
    <xf numFmtId="0" fontId="4" fillId="0" borderId="0" xfId="0" applyFont="1" applyFill="1" applyAlignment="1" applyProtection="1">
      <protection hidden="1"/>
    </xf>
    <xf numFmtId="164" fontId="4" fillId="0" borderId="0" xfId="1" applyFont="1" applyFill="1" applyBorder="1" applyAlignment="1" applyProtection="1">
      <protection hidden="1"/>
    </xf>
    <xf numFmtId="3" fontId="4" fillId="0" borderId="0" xfId="1" applyNumberFormat="1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protection hidden="1"/>
    </xf>
    <xf numFmtId="166" fontId="4" fillId="5" borderId="0" xfId="0" applyNumberFormat="1" applyFont="1" applyFill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left" indent="1"/>
      <protection hidden="1"/>
    </xf>
    <xf numFmtId="166" fontId="4" fillId="3" borderId="0" xfId="0" applyNumberFormat="1" applyFont="1" applyFill="1" applyProtection="1">
      <protection hidden="1"/>
    </xf>
    <xf numFmtId="166" fontId="4" fillId="0" borderId="0" xfId="0" applyNumberFormat="1" applyFont="1" applyFill="1" applyBorder="1" applyAlignment="1" applyProtection="1">
      <alignment horizontal="left" indent="1"/>
      <protection hidden="1"/>
    </xf>
    <xf numFmtId="168" fontId="4" fillId="0" borderId="0" xfId="0" applyNumberFormat="1" applyFont="1" applyFill="1" applyProtection="1">
      <protection hidden="1"/>
    </xf>
    <xf numFmtId="166" fontId="4" fillId="6" borderId="0" xfId="0" applyNumberFormat="1" applyFont="1" applyFill="1" applyAlignment="1" applyProtection="1">
      <alignment horizontal="center"/>
      <protection hidden="1"/>
    </xf>
    <xf numFmtId="10" fontId="4" fillId="0" borderId="0" xfId="4" applyNumberFormat="1" applyFont="1" applyFill="1" applyProtection="1">
      <protection hidden="1"/>
    </xf>
    <xf numFmtId="10" fontId="4" fillId="0" borderId="0" xfId="4" applyNumberFormat="1" applyFont="1" applyFill="1" applyAlignment="1" applyProtection="1">
      <alignment wrapText="1"/>
      <protection hidden="1"/>
    </xf>
    <xf numFmtId="0" fontId="3" fillId="4" borderId="0" xfId="0" applyFont="1" applyFill="1" applyAlignment="1" applyProtection="1">
      <alignment horizontal="center"/>
      <protection hidden="1"/>
    </xf>
    <xf numFmtId="165" fontId="4" fillId="3" borderId="0" xfId="0" applyNumberFormat="1" applyFont="1" applyFill="1" applyAlignment="1" applyProtection="1">
      <alignment horizontal="center"/>
      <protection hidden="1"/>
    </xf>
    <xf numFmtId="165" fontId="4" fillId="6" borderId="0" xfId="0" applyNumberFormat="1" applyFont="1" applyFill="1" applyAlignment="1" applyProtection="1">
      <alignment horizontal="center"/>
      <protection hidden="1"/>
    </xf>
    <xf numFmtId="165" fontId="4" fillId="4" borderId="0" xfId="0" applyNumberFormat="1" applyFont="1" applyFill="1" applyProtection="1">
      <protection hidden="1"/>
    </xf>
    <xf numFmtId="0" fontId="4" fillId="0" borderId="0" xfId="2" applyFont="1" applyFill="1" applyAlignment="1" applyProtection="1">
      <alignment horizontal="left" wrapText="1" indent="2"/>
      <protection hidden="1"/>
    </xf>
  </cellXfs>
  <cellStyles count="5">
    <cellStyle name="Normal" xfId="0" builtinId="0"/>
    <cellStyle name="Normal_1998SalOrd" xfId="3" xr:uid="{4AA900F2-7CB0-4A7C-96BD-B99FA4163539}"/>
    <cellStyle name="Normal_cma SALORD200020012002" xfId="1" xr:uid="{00000000-0005-0000-0000-000001000000}"/>
    <cellStyle name="Percent" xfId="4" builtinId="5"/>
    <cellStyle name="PSChar" xfId="2" xr:uid="{00000000-0005-0000-0000-000002000000}"/>
  </cellStyles>
  <dxfs count="0"/>
  <tableStyles count="1" defaultTableStyle="TableStyleMedium2" defaultPivotStyle="PivotStyleLight16">
    <tableStyle name="Invisible" pivot="0" table="0" count="0" xr9:uid="{B64A0DE8-5589-4800-947C-E610BC28A7B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Human%20Resources\LABOR\0%20Compensation\Job%20Code%20Table\Job%20Code%20Table%2012-17-2024.xlsx" TargetMode="External"/><Relationship Id="rId1" Type="http://schemas.openxmlformats.org/officeDocument/2006/relationships/externalLinkPath" Target="/Human%20Resources/LABOR/0%20Compensation/Job%20Code%20Table/Job%20Code%20Table%2012-17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  <sheetName val="Sheet3"/>
      <sheetName val="sheet1"/>
    </sheetNames>
    <sheetDataSet>
      <sheetData sheetId="0"/>
      <sheetData sheetId="1">
        <row r="319">
          <cell r="A319" t="str">
            <v>52939C</v>
          </cell>
          <cell r="B319" t="str">
            <v>Sr Water Distribution Operator</v>
          </cell>
          <cell r="C319" t="str">
            <v>CAW</v>
          </cell>
          <cell r="D319" t="str">
            <v>02</v>
          </cell>
          <cell r="F319">
            <v>30.449000000000002</v>
          </cell>
          <cell r="G319">
            <v>31.898</v>
          </cell>
          <cell r="H319">
            <v>33.417000000000002</v>
          </cell>
          <cell r="I319">
            <v>35.009</v>
          </cell>
        </row>
        <row r="320">
          <cell r="A320" t="str">
            <v>52917C</v>
          </cell>
          <cell r="B320" t="str">
            <v>Water Distr Operator Trainee</v>
          </cell>
          <cell r="C320" t="str">
            <v>CAW</v>
          </cell>
          <cell r="D320" t="str">
            <v>04</v>
          </cell>
          <cell r="F320">
            <v>21.097999999999999</v>
          </cell>
          <cell r="G320">
            <v>23.35</v>
          </cell>
        </row>
        <row r="321">
          <cell r="A321" t="str">
            <v>52938C</v>
          </cell>
          <cell r="B321" t="str">
            <v>Water Distribution Operator</v>
          </cell>
          <cell r="C321" t="str">
            <v>CAW</v>
          </cell>
          <cell r="D321" t="str">
            <v>01</v>
          </cell>
          <cell r="F321">
            <v>28.552</v>
          </cell>
          <cell r="G321">
            <v>29.966000000000001</v>
          </cell>
          <cell r="H321">
            <v>31.452000000000002</v>
          </cell>
          <cell r="I321">
            <v>33.012999999999998</v>
          </cell>
        </row>
        <row r="322">
          <cell r="A322" t="str">
            <v>59489C</v>
          </cell>
          <cell r="B322" t="str">
            <v>Water Loss &amp; Svc Connct Insp-C</v>
          </cell>
          <cell r="C322" t="str">
            <v>CAW</v>
          </cell>
          <cell r="D322" t="str">
            <v>10</v>
          </cell>
          <cell r="F322">
            <v>35.002000000000002</v>
          </cell>
          <cell r="G322">
            <v>0</v>
          </cell>
          <cell r="H322">
            <v>0</v>
          </cell>
          <cell r="I322">
            <v>40.825000000000003</v>
          </cell>
        </row>
        <row r="323">
          <cell r="A323" t="str">
            <v>52951C</v>
          </cell>
          <cell r="B323" t="str">
            <v>Water Loss Specialist</v>
          </cell>
          <cell r="C323" t="str">
            <v>CAW</v>
          </cell>
          <cell r="D323" t="str">
            <v>09</v>
          </cell>
          <cell r="F323">
            <v>33.822000000000003</v>
          </cell>
          <cell r="G323">
            <v>35.390999999999998</v>
          </cell>
          <cell r="H323">
            <v>37.040999999999997</v>
          </cell>
          <cell r="I323">
            <v>38.771000000000001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showGridLines="0" workbookViewId="0">
      <selection activeCell="E13" sqref="E13"/>
    </sheetView>
  </sheetViews>
  <sheetFormatPr defaultColWidth="9.140625" defaultRowHeight="15" x14ac:dyDescent="0.25"/>
  <cols>
    <col min="1" max="1" width="10" style="4" customWidth="1"/>
    <col min="2" max="2" width="5.5703125" style="4" customWidth="1"/>
    <col min="3" max="3" width="7.28515625" style="4" customWidth="1"/>
    <col min="4" max="4" width="7.140625" style="4" customWidth="1"/>
    <col min="5" max="5" width="42.5703125" style="4" customWidth="1"/>
    <col min="6" max="6" width="4.140625" style="4" bestFit="1" customWidth="1"/>
    <col min="7" max="7" width="6.5703125" style="4" bestFit="1" customWidth="1"/>
    <col min="8" max="8" width="5.28515625" style="4" bestFit="1" customWidth="1"/>
    <col min="9" max="9" width="8.5703125" style="4" bestFit="1" customWidth="1"/>
    <col min="10" max="10" width="7.85546875" style="4" customWidth="1"/>
    <col min="11" max="11" width="7.5703125" style="4" bestFit="1" customWidth="1"/>
    <col min="12" max="12" width="7.85546875" style="4" customWidth="1"/>
    <col min="13" max="13" width="8.7109375" style="4" customWidth="1"/>
    <col min="14" max="16384" width="9.140625" style="4"/>
  </cols>
  <sheetData>
    <row r="1" spans="1:13" ht="18.75" x14ac:dyDescent="0.3">
      <c r="A1" s="1" t="s">
        <v>0</v>
      </c>
      <c r="B1" s="2"/>
      <c r="C1" s="2"/>
      <c r="D1" s="2"/>
      <c r="E1" s="2"/>
      <c r="F1" s="2"/>
      <c r="G1" s="3"/>
      <c r="H1" s="3"/>
      <c r="I1" s="3"/>
    </row>
    <row r="2" spans="1:13" x14ac:dyDescent="0.25">
      <c r="A2" s="5" t="s">
        <v>73</v>
      </c>
      <c r="B2" s="2"/>
      <c r="C2" s="2"/>
      <c r="D2" s="2"/>
      <c r="E2" s="2"/>
      <c r="F2" s="2"/>
      <c r="G2" s="3"/>
      <c r="H2" s="3"/>
      <c r="I2" s="3"/>
    </row>
    <row r="3" spans="1:13" x14ac:dyDescent="0.25">
      <c r="A3" s="5" t="s">
        <v>74</v>
      </c>
      <c r="B3" s="5"/>
      <c r="C3" s="5"/>
      <c r="D3" s="5"/>
      <c r="E3" s="2"/>
      <c r="F3" s="2"/>
      <c r="G3" s="3"/>
      <c r="H3" s="3"/>
      <c r="I3" s="3"/>
    </row>
    <row r="4" spans="1:13" ht="11.25" customHeight="1" x14ac:dyDescent="0.25">
      <c r="B4" s="2"/>
      <c r="C4" s="2"/>
      <c r="D4" s="2"/>
      <c r="E4" s="2"/>
      <c r="F4" s="2"/>
      <c r="G4" s="3"/>
      <c r="H4" s="3"/>
      <c r="I4" s="3"/>
    </row>
    <row r="5" spans="1:13" s="10" customFormat="1" ht="69" customHeight="1" x14ac:dyDescent="0.25">
      <c r="A5" s="7" t="s">
        <v>1</v>
      </c>
      <c r="B5" s="7" t="s">
        <v>70</v>
      </c>
      <c r="C5" s="7" t="s">
        <v>71</v>
      </c>
      <c r="D5" s="7" t="s">
        <v>2</v>
      </c>
      <c r="E5" s="8" t="s">
        <v>63</v>
      </c>
      <c r="F5" s="7" t="s">
        <v>3</v>
      </c>
      <c r="G5" s="42" t="s">
        <v>72</v>
      </c>
      <c r="H5" s="7" t="s">
        <v>69</v>
      </c>
      <c r="I5" s="7" t="s">
        <v>4</v>
      </c>
      <c r="J5" s="7" t="s">
        <v>5</v>
      </c>
      <c r="K5" s="7" t="s">
        <v>6</v>
      </c>
      <c r="L5" s="7" t="s">
        <v>7</v>
      </c>
      <c r="M5" s="9"/>
    </row>
    <row r="6" spans="1:13" x14ac:dyDescent="0.25">
      <c r="A6" s="11" t="s">
        <v>8</v>
      </c>
      <c r="B6" s="11">
        <v>2</v>
      </c>
      <c r="C6" s="12" t="s">
        <v>9</v>
      </c>
      <c r="D6" s="13" t="s">
        <v>10</v>
      </c>
      <c r="E6" s="6" t="s">
        <v>11</v>
      </c>
      <c r="F6" s="3">
        <v>313</v>
      </c>
      <c r="G6" s="3">
        <v>6</v>
      </c>
      <c r="H6" s="3" t="s">
        <v>12</v>
      </c>
      <c r="I6" s="50">
        <v>24.923886469652484</v>
      </c>
      <c r="J6" s="50">
        <v>26.19116324687381</v>
      </c>
      <c r="K6" s="50">
        <v>27.488724211786081</v>
      </c>
      <c r="L6" s="50">
        <v>28.853842210778172</v>
      </c>
      <c r="M6" s="15"/>
    </row>
    <row r="7" spans="1:13" x14ac:dyDescent="0.25">
      <c r="A7" s="11" t="s">
        <v>8</v>
      </c>
      <c r="B7" s="11">
        <v>2</v>
      </c>
      <c r="C7" s="12" t="s">
        <v>13</v>
      </c>
      <c r="D7" s="13" t="s">
        <v>14</v>
      </c>
      <c r="E7" s="6" t="s">
        <v>15</v>
      </c>
      <c r="F7" s="3">
        <v>363</v>
      </c>
      <c r="G7" s="3">
        <v>8</v>
      </c>
      <c r="H7" s="3" t="s">
        <v>12</v>
      </c>
      <c r="I7" s="50">
        <v>32.691107342356823</v>
      </c>
      <c r="J7" s="50">
        <v>34.333102881089474</v>
      </c>
      <c r="K7" s="50">
        <v>36.040687773297691</v>
      </c>
      <c r="L7" s="51" t="s">
        <v>16</v>
      </c>
    </row>
    <row r="8" spans="1:13" x14ac:dyDescent="0.25">
      <c r="A8" s="11" t="s">
        <v>8</v>
      </c>
      <c r="B8" s="11">
        <v>2</v>
      </c>
      <c r="C8" s="12" t="s">
        <v>17</v>
      </c>
      <c r="D8" s="13" t="s">
        <v>18</v>
      </c>
      <c r="E8" s="6" t="s">
        <v>19</v>
      </c>
      <c r="F8" s="3">
        <v>268</v>
      </c>
      <c r="G8" s="3">
        <v>5</v>
      </c>
      <c r="H8" s="3" t="s">
        <v>12</v>
      </c>
      <c r="I8" s="50">
        <v>23.7090246326655</v>
      </c>
      <c r="J8" s="50">
        <v>24.895931834860832</v>
      </c>
      <c r="K8" s="50">
        <v>26.124770989243647</v>
      </c>
      <c r="L8" s="50">
        <v>27.43514449510209</v>
      </c>
      <c r="M8" s="15"/>
    </row>
    <row r="9" spans="1:13" x14ac:dyDescent="0.25">
      <c r="A9" s="11" t="s">
        <v>8</v>
      </c>
      <c r="B9" s="11">
        <v>2</v>
      </c>
      <c r="C9" s="12" t="s">
        <v>20</v>
      </c>
      <c r="D9" s="13" t="s">
        <v>21</v>
      </c>
      <c r="E9" s="6" t="s">
        <v>22</v>
      </c>
      <c r="F9" s="3">
        <v>250</v>
      </c>
      <c r="G9" s="3">
        <v>5</v>
      </c>
      <c r="H9" s="3" t="s">
        <v>12</v>
      </c>
      <c r="I9" s="50">
        <v>23.73464971455784</v>
      </c>
      <c r="J9" s="50">
        <v>25.223234017213038</v>
      </c>
      <c r="K9" s="50">
        <v>25.905793016709076</v>
      </c>
      <c r="L9" s="50">
        <v>26.832955070632035</v>
      </c>
    </row>
    <row r="10" spans="1:13" x14ac:dyDescent="0.25">
      <c r="A10" s="11" t="s">
        <v>8</v>
      </c>
      <c r="B10" s="11">
        <v>2</v>
      </c>
      <c r="C10" s="12" t="s">
        <v>23</v>
      </c>
      <c r="D10" s="13" t="s">
        <v>24</v>
      </c>
      <c r="E10" s="6" t="s">
        <v>25</v>
      </c>
      <c r="F10" s="3">
        <v>285</v>
      </c>
      <c r="G10" s="3">
        <v>6</v>
      </c>
      <c r="H10" s="3" t="s">
        <v>12</v>
      </c>
      <c r="I10" s="50">
        <v>24.976301409886823</v>
      </c>
      <c r="J10" s="50">
        <v>26.097981130901651</v>
      </c>
      <c r="K10" s="50">
        <v>27.17539934682971</v>
      </c>
      <c r="L10" s="50">
        <v>28.554494663217625</v>
      </c>
      <c r="M10" s="15"/>
    </row>
    <row r="11" spans="1:13" x14ac:dyDescent="0.25">
      <c r="A11" s="11" t="s">
        <v>8</v>
      </c>
      <c r="B11" s="11">
        <v>2</v>
      </c>
      <c r="C11" t="s">
        <v>90</v>
      </c>
      <c r="D11" s="61" t="s">
        <v>21</v>
      </c>
      <c r="E11" s="6" t="s">
        <v>56</v>
      </c>
      <c r="F11" s="3">
        <v>265</v>
      </c>
      <c r="G11" s="3">
        <v>5</v>
      </c>
      <c r="H11" s="3" t="s">
        <v>12</v>
      </c>
      <c r="I11" s="14">
        <v>23.940999999999999</v>
      </c>
      <c r="J11" s="14">
        <v>25.138000000000002</v>
      </c>
      <c r="K11" s="14">
        <v>26.395</v>
      </c>
      <c r="L11" s="14">
        <v>27.715</v>
      </c>
      <c r="M11" s="15"/>
    </row>
    <row r="12" spans="1:13" x14ac:dyDescent="0.25">
      <c r="A12" s="11" t="s">
        <v>8</v>
      </c>
      <c r="B12" s="11">
        <v>2</v>
      </c>
      <c r="C12" t="s">
        <v>91</v>
      </c>
      <c r="D12" s="61" t="s">
        <v>92</v>
      </c>
      <c r="E12" s="6" t="s">
        <v>57</v>
      </c>
      <c r="F12" s="3">
        <v>310</v>
      </c>
      <c r="G12" s="3">
        <v>6</v>
      </c>
      <c r="H12" s="3" t="s">
        <v>12</v>
      </c>
      <c r="I12" s="4">
        <v>25.545999999999999</v>
      </c>
      <c r="J12" s="4">
        <v>26.771999999999998</v>
      </c>
      <c r="K12" s="4">
        <v>28.056999999999999</v>
      </c>
      <c r="L12" s="4">
        <v>29.404</v>
      </c>
      <c r="M12" s="15"/>
    </row>
    <row r="13" spans="1:13" x14ac:dyDescent="0.25">
      <c r="A13" s="11"/>
      <c r="B13" s="11"/>
      <c r="C13" s="12"/>
      <c r="D13" s="12"/>
      <c r="E13" s="6"/>
      <c r="F13" s="3"/>
      <c r="G13" s="3"/>
      <c r="H13" s="3"/>
      <c r="M13" s="15"/>
    </row>
    <row r="14" spans="1:13" x14ac:dyDescent="0.25">
      <c r="A14" s="17" t="s">
        <v>26</v>
      </c>
      <c r="B14" s="2"/>
      <c r="C14" s="2"/>
      <c r="D14" s="2"/>
      <c r="E14" s="17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18" t="s">
        <v>27</v>
      </c>
      <c r="B15" s="19"/>
      <c r="C15" s="19"/>
      <c r="D15" s="19"/>
      <c r="E15" s="19"/>
      <c r="F15" s="19"/>
      <c r="G15" s="19"/>
      <c r="H15" s="19"/>
      <c r="I15"/>
      <c r="J15"/>
      <c r="K15"/>
      <c r="L15"/>
      <c r="M15"/>
    </row>
    <row r="16" spans="1:13" x14ac:dyDescent="0.25">
      <c r="A16" s="18" t="s">
        <v>28</v>
      </c>
      <c r="B16" s="19"/>
      <c r="C16" s="19"/>
      <c r="D16" s="19"/>
      <c r="E16" s="19"/>
      <c r="F16" s="19"/>
      <c r="G16" s="19"/>
      <c r="H16" s="19"/>
      <c r="I16"/>
      <c r="J16"/>
      <c r="K16"/>
      <c r="L16"/>
      <c r="M16"/>
    </row>
    <row r="17" spans="1:13" x14ac:dyDescent="0.25">
      <c r="A17" s="20">
        <v>0.30400665335915966</v>
      </c>
      <c r="B17" s="18" t="s">
        <v>29</v>
      </c>
      <c r="C17" s="6"/>
      <c r="D17" s="6"/>
      <c r="E17" s="19"/>
      <c r="F17" s="19"/>
      <c r="G17" s="19"/>
      <c r="H17" s="21"/>
      <c r="I17" s="21"/>
      <c r="J17" s="16"/>
      <c r="K17" s="21"/>
      <c r="L17" s="21"/>
      <c r="M17" s="2"/>
    </row>
    <row r="18" spans="1:13" x14ac:dyDescent="0.25">
      <c r="A18" s="20">
        <v>0.42514340412296281</v>
      </c>
      <c r="B18" s="18" t="s">
        <v>30</v>
      </c>
      <c r="C18" s="6"/>
      <c r="D18" s="6"/>
      <c r="E18" s="19"/>
      <c r="F18" s="19"/>
      <c r="G18" s="19"/>
      <c r="H18" s="21"/>
      <c r="I18" s="21"/>
      <c r="J18" s="16"/>
      <c r="K18" s="21"/>
      <c r="L18" s="21"/>
      <c r="M18" s="2"/>
    </row>
    <row r="19" spans="1:13" x14ac:dyDescent="0.25">
      <c r="A19" s="20">
        <v>0.51483119074616301</v>
      </c>
      <c r="B19" s="18" t="s">
        <v>31</v>
      </c>
      <c r="C19" s="6"/>
      <c r="D19" s="6"/>
      <c r="E19" s="19"/>
      <c r="F19" s="19"/>
      <c r="G19" s="19"/>
      <c r="H19" s="21"/>
      <c r="I19" s="21"/>
      <c r="J19" s="16"/>
      <c r="K19" s="21"/>
      <c r="L19" s="21"/>
      <c r="M19" s="2"/>
    </row>
    <row r="20" spans="1:13" x14ac:dyDescent="0.25">
      <c r="A20" s="22">
        <v>0.60451897736936344</v>
      </c>
      <c r="B20" s="18" t="s">
        <v>32</v>
      </c>
      <c r="C20" s="6"/>
      <c r="D20" s="19"/>
      <c r="E20" s="19"/>
      <c r="F20" s="19"/>
      <c r="G20" s="19"/>
      <c r="H20" s="21"/>
      <c r="I20" s="21"/>
      <c r="J20" s="16"/>
      <c r="K20" s="21"/>
      <c r="L20" s="21"/>
      <c r="M20" s="2"/>
    </row>
    <row r="21" spans="1:13" x14ac:dyDescent="0.25">
      <c r="A21" s="17"/>
      <c r="B21" s="2"/>
      <c r="C21" s="2"/>
      <c r="D21" s="2"/>
      <c r="E21" s="17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3" t="s">
        <v>33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"/>
    </row>
    <row r="23" spans="1:13" x14ac:dyDescent="0.25">
      <c r="A23" s="18" t="s">
        <v>34</v>
      </c>
      <c r="B23" s="19"/>
      <c r="C23" s="19"/>
      <c r="D23" s="19"/>
      <c r="E23" s="19"/>
      <c r="F23" s="19"/>
      <c r="G23" s="19"/>
      <c r="H23" s="19"/>
      <c r="I23" s="21"/>
      <c r="J23" s="21"/>
      <c r="K23" s="21"/>
      <c r="L23" s="21"/>
      <c r="M23" s="2"/>
    </row>
    <row r="24" spans="1:13" x14ac:dyDescent="0.25">
      <c r="A24" s="18" t="s">
        <v>35</v>
      </c>
      <c r="B24" s="19"/>
      <c r="C24" s="19"/>
      <c r="D24" s="19"/>
      <c r="E24" s="19"/>
      <c r="F24" s="19"/>
      <c r="G24" s="19"/>
      <c r="H24" s="19"/>
      <c r="I24" s="21"/>
      <c r="J24" s="21"/>
      <c r="K24" s="21"/>
      <c r="L24" s="21"/>
      <c r="M24" s="2"/>
    </row>
    <row r="25" spans="1:13" x14ac:dyDescent="0.25">
      <c r="A25" s="18" t="s">
        <v>36</v>
      </c>
      <c r="B25" s="19"/>
      <c r="C25" s="19"/>
      <c r="D25" s="19"/>
      <c r="E25" s="19"/>
      <c r="F25" s="19"/>
      <c r="G25" s="19"/>
      <c r="H25" s="19"/>
      <c r="I25" s="21"/>
      <c r="J25" s="21"/>
      <c r="K25" s="21"/>
      <c r="L25" s="21"/>
      <c r="M25" s="2"/>
    </row>
    <row r="26" spans="1:13" x14ac:dyDescent="0.25">
      <c r="A26" s="18"/>
      <c r="B26" s="19"/>
      <c r="C26" s="19"/>
      <c r="D26" s="19"/>
      <c r="E26" s="19"/>
      <c r="F26" s="19"/>
      <c r="G26" s="19"/>
      <c r="H26" s="19"/>
      <c r="I26" s="21"/>
      <c r="J26" s="21"/>
      <c r="K26" s="21"/>
      <c r="L26" s="21"/>
      <c r="M26" s="2"/>
    </row>
    <row r="27" spans="1:13" x14ac:dyDescent="0.25">
      <c r="A27" s="24" t="s">
        <v>37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x14ac:dyDescent="0.25">
      <c r="A28" s="24" t="s">
        <v>38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x14ac:dyDescent="0.25">
      <c r="A29" s="22">
        <v>0.34244427619767404</v>
      </c>
      <c r="B29" s="18" t="s">
        <v>39</v>
      </c>
      <c r="C29" s="6"/>
      <c r="D29" s="25"/>
      <c r="E29" s="6"/>
      <c r="F29" s="19"/>
      <c r="G29" s="19"/>
      <c r="H29" s="19"/>
      <c r="I29" s="19"/>
      <c r="J29" s="19"/>
      <c r="K29" s="21"/>
      <c r="L29" s="21"/>
      <c r="M29" s="21"/>
    </row>
    <row r="30" spans="1:13" x14ac:dyDescent="0.25">
      <c r="A30" s="22">
        <v>0.34244427619767404</v>
      </c>
      <c r="B30" s="18" t="s">
        <v>40</v>
      </c>
      <c r="C30" s="6"/>
      <c r="D30" s="25"/>
      <c r="E30" s="6"/>
      <c r="F30" s="19"/>
      <c r="G30" s="19"/>
      <c r="H30" s="19"/>
      <c r="I30" s="19"/>
      <c r="J30" s="19"/>
      <c r="K30" s="21"/>
      <c r="L30" s="21"/>
      <c r="M30" s="21"/>
    </row>
    <row r="31" spans="1:13" x14ac:dyDescent="0.25">
      <c r="A31" s="22">
        <v>0.82466172635358237</v>
      </c>
      <c r="B31" s="18" t="s">
        <v>41</v>
      </c>
      <c r="C31" s="6"/>
      <c r="D31" s="25"/>
      <c r="E31" s="6"/>
      <c r="F31" s="19"/>
      <c r="G31" s="19"/>
      <c r="H31" s="19"/>
      <c r="I31" s="19"/>
      <c r="J31" s="19"/>
      <c r="K31" s="21"/>
      <c r="L31" s="21"/>
      <c r="M31" s="21"/>
    </row>
    <row r="32" spans="1:13" x14ac:dyDescent="0.25">
      <c r="A32" s="22">
        <v>0.38554100483479636</v>
      </c>
      <c r="B32" s="6" t="s">
        <v>42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22">
        <v>1.1263388268134382</v>
      </c>
      <c r="B33" s="6" t="s">
        <v>43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5" spans="1:13" s="26" customFormat="1" x14ac:dyDescent="0.25">
      <c r="A35" s="26" t="s">
        <v>44</v>
      </c>
    </row>
    <row r="36" spans="1:13" x14ac:dyDescent="0.25">
      <c r="B36" s="26" t="s">
        <v>45</v>
      </c>
    </row>
    <row r="37" spans="1:13" x14ac:dyDescent="0.25">
      <c r="A37" s="50">
        <v>0.2793086562499999</v>
      </c>
      <c r="B37" s="4" t="s">
        <v>46</v>
      </c>
    </row>
    <row r="38" spans="1:13" x14ac:dyDescent="0.25">
      <c r="A38" s="50">
        <v>0.54787467187499994</v>
      </c>
      <c r="B38" s="4" t="s">
        <v>47</v>
      </c>
    </row>
    <row r="39" spans="1:13" x14ac:dyDescent="0.25">
      <c r="A39" s="50">
        <v>0.82718332812499973</v>
      </c>
      <c r="B39" s="4" t="s">
        <v>48</v>
      </c>
    </row>
    <row r="40" spans="1:13" x14ac:dyDescent="0.25">
      <c r="A40" s="50">
        <v>1.1064919843749998</v>
      </c>
      <c r="B40" s="4" t="s">
        <v>49</v>
      </c>
    </row>
    <row r="42" spans="1:13" x14ac:dyDescent="0.25">
      <c r="A42" s="24" t="s">
        <v>50</v>
      </c>
      <c r="B42" s="27"/>
      <c r="C42" s="27"/>
      <c r="D42" s="28"/>
      <c r="E42" s="29"/>
      <c r="F42" s="29"/>
      <c r="G42" s="29"/>
      <c r="H42" s="29"/>
      <c r="I42" s="29"/>
      <c r="J42" s="29"/>
      <c r="K42" s="29"/>
      <c r="L42" s="29"/>
      <c r="M42" s="29"/>
    </row>
    <row r="43" spans="1:13" x14ac:dyDescent="0.25">
      <c r="A43" s="30" t="s">
        <v>51</v>
      </c>
      <c r="B43" s="31"/>
      <c r="C43" s="31"/>
      <c r="D43" s="32"/>
      <c r="E43" s="33"/>
      <c r="F43" s="33"/>
      <c r="G43" s="33"/>
      <c r="H43" s="33"/>
      <c r="I43" s="33"/>
      <c r="J43" s="29"/>
      <c r="K43" s="29"/>
      <c r="L43" s="29"/>
      <c r="M43" s="29"/>
    </row>
    <row r="44" spans="1:13" x14ac:dyDescent="0.25">
      <c r="A44" s="22">
        <v>0.564916578081197</v>
      </c>
      <c r="B44" s="18" t="s">
        <v>52</v>
      </c>
      <c r="C44" s="34"/>
      <c r="D44" s="32"/>
      <c r="E44" s="33"/>
      <c r="F44" s="35"/>
      <c r="G44" s="35"/>
      <c r="H44" s="35"/>
      <c r="K44" s="33"/>
      <c r="L44" s="33"/>
      <c r="M44" s="29"/>
    </row>
    <row r="45" spans="1:13" x14ac:dyDescent="0.25">
      <c r="A45" s="36"/>
      <c r="B45" s="37" t="s">
        <v>53</v>
      </c>
      <c r="C45" s="31"/>
      <c r="D45" s="32"/>
      <c r="E45" s="33"/>
      <c r="F45" s="35"/>
      <c r="G45" s="35"/>
      <c r="H45" s="35"/>
      <c r="I45" s="33"/>
      <c r="J45" s="33"/>
      <c r="K45" s="33"/>
      <c r="L45" s="33"/>
      <c r="M45" s="29"/>
    </row>
    <row r="46" spans="1:13" x14ac:dyDescent="0.25">
      <c r="A46" s="34"/>
      <c r="B46" s="36"/>
      <c r="C46" s="34"/>
      <c r="D46" s="32"/>
      <c r="E46" s="33"/>
      <c r="F46" s="35"/>
      <c r="G46" s="35"/>
      <c r="H46" s="35"/>
      <c r="I46" s="38"/>
      <c r="J46" s="39"/>
      <c r="K46" s="33"/>
      <c r="L46" s="33"/>
      <c r="M46" s="29"/>
    </row>
    <row r="47" spans="1:13" x14ac:dyDescent="0.25">
      <c r="A47" s="30" t="s">
        <v>54</v>
      </c>
      <c r="B47" s="31"/>
      <c r="C47" s="31"/>
      <c r="D47" s="32"/>
      <c r="E47" s="33"/>
      <c r="F47" s="35"/>
      <c r="G47" s="35"/>
      <c r="H47" s="35"/>
      <c r="I47" s="33"/>
      <c r="J47" s="33"/>
      <c r="K47" s="33"/>
      <c r="L47" s="33"/>
      <c r="M47" s="29"/>
    </row>
    <row r="48" spans="1:13" x14ac:dyDescent="0.25">
      <c r="A48" s="22">
        <v>1.1915663079939476</v>
      </c>
      <c r="B48" s="18" t="s">
        <v>55</v>
      </c>
      <c r="C48" s="33"/>
      <c r="D48" s="33"/>
      <c r="E48" s="29"/>
      <c r="F48" s="29"/>
      <c r="G48" s="35"/>
      <c r="H48" s="35"/>
    </row>
    <row r="49" spans="1:13" x14ac:dyDescent="0.25">
      <c r="A49" s="36"/>
      <c r="B49" s="37" t="s">
        <v>53</v>
      </c>
      <c r="C49" s="31"/>
      <c r="D49" s="32"/>
      <c r="E49" s="33"/>
      <c r="F49" s="35"/>
      <c r="G49" s="35"/>
      <c r="H49" s="35"/>
      <c r="I49" s="33"/>
      <c r="J49" s="33"/>
      <c r="K49" s="33"/>
      <c r="L49" s="33"/>
      <c r="M49" s="29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C774-1AF2-42B7-87C4-21991887472A}">
  <dimension ref="A1:AG836"/>
  <sheetViews>
    <sheetView showGridLines="0" tabSelected="1" topLeftCell="B2" workbookViewId="0">
      <selection activeCell="H9" sqref="H9"/>
    </sheetView>
  </sheetViews>
  <sheetFormatPr defaultColWidth="9.140625" defaultRowHeight="15" x14ac:dyDescent="0.25"/>
  <cols>
    <col min="1" max="1" width="0" style="4" hidden="1" customWidth="1"/>
    <col min="2" max="2" width="10.42578125" style="4" customWidth="1"/>
    <col min="3" max="3" width="9.5703125" style="4" bestFit="1" customWidth="1"/>
    <col min="4" max="4" width="8.42578125" style="4" customWidth="1"/>
    <col min="5" max="5" width="7.140625" style="71" customWidth="1"/>
    <col min="6" max="6" width="42.5703125" style="4" customWidth="1"/>
    <col min="7" max="7" width="6.5703125" style="4" bestFit="1" customWidth="1"/>
    <col min="8" max="8" width="7.7109375" style="4" bestFit="1" customWidth="1"/>
    <col min="9" max="9" width="7.42578125" style="4" customWidth="1"/>
    <col min="10" max="12" width="8" style="4" customWidth="1"/>
    <col min="13" max="13" width="8.42578125" style="4" bestFit="1" customWidth="1"/>
    <col min="14" max="14" width="10.42578125" style="4" bestFit="1" customWidth="1"/>
    <col min="15" max="15" width="10.42578125" style="4" customWidth="1"/>
    <col min="16" max="16" width="17.42578125" style="85" hidden="1" customWidth="1"/>
    <col min="17" max="17" width="12.28515625" style="86" hidden="1" customWidth="1"/>
    <col min="18" max="18" width="39.5703125" style="85" hidden="1" customWidth="1"/>
    <col min="19" max="19" width="4.28515625" style="86" hidden="1" customWidth="1"/>
    <col min="20" max="23" width="7.5703125" style="86" hidden="1" customWidth="1"/>
    <col min="24" max="25" width="9.140625" style="126" hidden="1" customWidth="1"/>
    <col min="26" max="26" width="17.28515625" style="94" hidden="1" customWidth="1"/>
    <col min="27" max="27" width="39.5703125" style="94" hidden="1" customWidth="1"/>
    <col min="28" max="28" width="4.28515625" style="94" hidden="1" customWidth="1"/>
    <col min="29" max="29" width="7.5703125" style="99" hidden="1" customWidth="1"/>
    <col min="30" max="32" width="7.5703125" style="94" hidden="1" customWidth="1"/>
    <col min="33" max="33" width="0" style="4" hidden="1" customWidth="1"/>
    <col min="34" max="16384" width="9.140625" style="4"/>
  </cols>
  <sheetData>
    <row r="1" spans="2:33" x14ac:dyDescent="0.25">
      <c r="B1" s="4" t="s">
        <v>191</v>
      </c>
      <c r="P1" s="85" t="s">
        <v>203</v>
      </c>
      <c r="Q1" s="101">
        <v>1.0149999999999999</v>
      </c>
      <c r="X1" s="86"/>
      <c r="AG1" s="94"/>
    </row>
    <row r="2" spans="2:33" ht="18.75" x14ac:dyDescent="0.3">
      <c r="B2" s="1" t="s">
        <v>88</v>
      </c>
      <c r="C2" s="2"/>
      <c r="D2" s="2"/>
      <c r="E2" s="64"/>
      <c r="F2" s="2"/>
      <c r="G2" s="2"/>
      <c r="H2" s="3"/>
      <c r="I2" s="3"/>
      <c r="J2" s="3"/>
      <c r="P2" s="85" t="s">
        <v>202</v>
      </c>
      <c r="Q2" s="101">
        <v>1.04</v>
      </c>
      <c r="R2" s="107"/>
      <c r="S2" s="91"/>
      <c r="X2" s="86"/>
      <c r="AG2" s="94"/>
    </row>
    <row r="3" spans="2:33" x14ac:dyDescent="0.25">
      <c r="B3" s="114" t="s">
        <v>200</v>
      </c>
      <c r="C3" s="2"/>
      <c r="D3" s="2"/>
      <c r="E3" s="64"/>
      <c r="F3" s="2"/>
      <c r="G3" s="2"/>
      <c r="H3" s="3"/>
      <c r="I3" s="3"/>
      <c r="J3" s="3"/>
      <c r="P3" s="85" t="s">
        <v>143</v>
      </c>
      <c r="Q3" s="102" t="s">
        <v>201</v>
      </c>
      <c r="X3" s="86"/>
      <c r="AG3" s="94"/>
    </row>
    <row r="4" spans="2:33" x14ac:dyDescent="0.25">
      <c r="B4" s="115" t="s">
        <v>74</v>
      </c>
      <c r="C4" s="2"/>
      <c r="D4" s="2"/>
      <c r="E4" s="64"/>
      <c r="F4" s="2"/>
      <c r="G4" s="2"/>
      <c r="H4" s="3"/>
      <c r="I4" s="3"/>
      <c r="J4" s="3"/>
      <c r="Q4" s="91"/>
      <c r="X4" s="86"/>
      <c r="AG4" s="94"/>
    </row>
    <row r="5" spans="2:33" x14ac:dyDescent="0.25">
      <c r="B5" s="121" t="s">
        <v>211</v>
      </c>
      <c r="C5" s="2"/>
      <c r="D5" s="2"/>
      <c r="E5" s="64"/>
      <c r="F5" s="2"/>
      <c r="G5" s="2"/>
      <c r="H5" s="3"/>
      <c r="I5" s="3"/>
      <c r="J5" s="3"/>
      <c r="Q5" s="91"/>
      <c r="T5" s="86">
        <v>4</v>
      </c>
      <c r="U5" s="86">
        <v>5</v>
      </c>
      <c r="V5" s="86">
        <v>6</v>
      </c>
      <c r="W5" s="86">
        <v>7</v>
      </c>
      <c r="X5" s="86"/>
      <c r="Z5" s="94" t="s">
        <v>195</v>
      </c>
      <c r="AG5" s="94"/>
    </row>
    <row r="6" spans="2:33" x14ac:dyDescent="0.25">
      <c r="B6" s="121"/>
      <c r="C6" s="2"/>
      <c r="D6" s="2"/>
      <c r="E6" s="64"/>
      <c r="F6" s="2"/>
      <c r="G6" s="2"/>
      <c r="H6" s="3"/>
      <c r="I6" s="3"/>
      <c r="J6" s="3"/>
      <c r="Q6" s="91"/>
      <c r="X6" s="86"/>
      <c r="Z6" s="94" t="s">
        <v>194</v>
      </c>
      <c r="AG6" s="94"/>
    </row>
    <row r="7" spans="2:33" s="10" customFormat="1" ht="30" x14ac:dyDescent="0.25">
      <c r="B7" s="7" t="s">
        <v>1</v>
      </c>
      <c r="C7" s="7" t="s">
        <v>70</v>
      </c>
      <c r="D7" s="7" t="s">
        <v>71</v>
      </c>
      <c r="E7" s="65" t="s">
        <v>86</v>
      </c>
      <c r="F7" s="8" t="s">
        <v>63</v>
      </c>
      <c r="G7" s="7" t="s">
        <v>3</v>
      </c>
      <c r="H7" s="7" t="s">
        <v>150</v>
      </c>
      <c r="I7" s="7" t="s">
        <v>69</v>
      </c>
      <c r="J7" s="7" t="s">
        <v>4</v>
      </c>
      <c r="K7" s="7" t="s">
        <v>5</v>
      </c>
      <c r="L7" s="7" t="s">
        <v>6</v>
      </c>
      <c r="M7" s="7" t="s">
        <v>7</v>
      </c>
      <c r="N7" s="4"/>
      <c r="P7" s="87" t="s">
        <v>148</v>
      </c>
      <c r="Q7" s="88" t="s">
        <v>71</v>
      </c>
      <c r="R7" s="87" t="s">
        <v>141</v>
      </c>
      <c r="S7" s="88" t="s">
        <v>2</v>
      </c>
      <c r="T7" s="89" t="s">
        <v>4</v>
      </c>
      <c r="U7" s="89" t="s">
        <v>5</v>
      </c>
      <c r="V7" s="89" t="s">
        <v>6</v>
      </c>
      <c r="W7" s="89" t="s">
        <v>7</v>
      </c>
      <c r="X7" s="89"/>
      <c r="Y7" s="127"/>
      <c r="Z7" s="95" t="s">
        <v>71</v>
      </c>
      <c r="AA7" s="96" t="s">
        <v>141</v>
      </c>
      <c r="AB7" s="95" t="s">
        <v>2</v>
      </c>
      <c r="AC7" s="112" t="s">
        <v>4</v>
      </c>
      <c r="AD7" s="97" t="s">
        <v>5</v>
      </c>
      <c r="AE7" s="97" t="s">
        <v>6</v>
      </c>
      <c r="AF7" s="97" t="s">
        <v>7</v>
      </c>
      <c r="AG7" s="128"/>
    </row>
    <row r="8" spans="2:33" x14ac:dyDescent="0.25">
      <c r="B8" s="11" t="s">
        <v>8</v>
      </c>
      <c r="C8" s="11">
        <v>2</v>
      </c>
      <c r="D8" s="60" t="s">
        <v>75</v>
      </c>
      <c r="E8" s="66" t="s">
        <v>113</v>
      </c>
      <c r="F8" s="6" t="s">
        <v>87</v>
      </c>
      <c r="G8" s="3" t="s">
        <v>62</v>
      </c>
      <c r="H8" s="3" t="s">
        <v>76</v>
      </c>
      <c r="I8" s="3" t="s">
        <v>12</v>
      </c>
      <c r="J8" s="50">
        <f t="shared" ref="J8:M11" si="0">T8</f>
        <v>28.404941776427901</v>
      </c>
      <c r="K8" s="50" t="str">
        <f>TEXT(U8,"$#.000")&amp;"*"</f>
        <v>$31.956*</v>
      </c>
      <c r="L8" s="40"/>
      <c r="M8" s="40"/>
      <c r="P8" s="85" t="s">
        <v>149</v>
      </c>
      <c r="Q8" s="86" t="str">
        <f>D8</f>
        <v>52917C</v>
      </c>
      <c r="R8" s="85" t="str">
        <f t="shared" ref="R8:R11" si="1">F8</f>
        <v>Water Distribution Operator Trainee</v>
      </c>
      <c r="S8" s="90" t="str">
        <f>E8</f>
        <v>04</v>
      </c>
      <c r="T8" s="125">
        <v>28.404941776427901</v>
      </c>
      <c r="U8" s="125">
        <v>31.955559498481385</v>
      </c>
      <c r="V8" s="91"/>
      <c r="W8" s="91"/>
      <c r="X8" s="86"/>
      <c r="Z8" s="94" t="str">
        <f t="shared" ref="Z8:AB10" si="2">Q8</f>
        <v>52917C</v>
      </c>
      <c r="AA8" s="94" t="str">
        <f t="shared" si="2"/>
        <v>Water Distribution Operator Trainee</v>
      </c>
      <c r="AB8" s="98" t="str">
        <f t="shared" si="2"/>
        <v>04</v>
      </c>
      <c r="AC8" s="99">
        <f t="shared" ref="AC8:AF11" si="3">ROUND(T8,3)</f>
        <v>28.405000000000001</v>
      </c>
      <c r="AD8" s="99">
        <f t="shared" si="3"/>
        <v>31.956</v>
      </c>
      <c r="AE8" s="99"/>
      <c r="AF8" s="99"/>
      <c r="AG8" s="94"/>
    </row>
    <row r="9" spans="2:33" x14ac:dyDescent="0.25">
      <c r="B9" s="11" t="s">
        <v>8</v>
      </c>
      <c r="C9" s="11">
        <v>2</v>
      </c>
      <c r="D9" s="80" t="s">
        <v>90</v>
      </c>
      <c r="E9" s="61" t="s">
        <v>21</v>
      </c>
      <c r="F9" s="6" t="s">
        <v>56</v>
      </c>
      <c r="G9" s="3">
        <v>295</v>
      </c>
      <c r="H9" s="3">
        <v>6</v>
      </c>
      <c r="I9" s="3" t="s">
        <v>12</v>
      </c>
      <c r="J9" s="50">
        <f t="shared" si="0"/>
        <v>35.526370307105786</v>
      </c>
      <c r="K9" s="50">
        <f t="shared" si="0"/>
        <v>37.285917710632205</v>
      </c>
      <c r="L9" s="50">
        <f t="shared" si="0"/>
        <v>39.135628257507022</v>
      </c>
      <c r="M9" s="50">
        <f t="shared" si="0"/>
        <v>41.083951999999996</v>
      </c>
      <c r="N9" s="50"/>
      <c r="O9" s="58"/>
      <c r="P9" s="85" t="s">
        <v>149</v>
      </c>
      <c r="Q9" s="86" t="str">
        <f>D9</f>
        <v>52938C</v>
      </c>
      <c r="R9" s="85" t="str">
        <f t="shared" si="1"/>
        <v>Water Distribution Operator</v>
      </c>
      <c r="S9" s="90" t="str">
        <f>E9</f>
        <v>01</v>
      </c>
      <c r="T9" s="91">
        <f>VLOOKUP($Q9,DataNov25,4,0)*$Q$1*BaseIncrPerc2025</f>
        <v>35.526370307105786</v>
      </c>
      <c r="U9" s="91">
        <f>VLOOKUP($Q9,DataNov25,5,0)*$Q$1*BaseIncrPerc2025</f>
        <v>37.285917710632205</v>
      </c>
      <c r="V9" s="91">
        <f>VLOOKUP($Q9,DataNov25,6,0)*$Q$1*BaseIncrPerc2025</f>
        <v>39.135628257507022</v>
      </c>
      <c r="W9" s="91">
        <f>VLOOKUP($Q9,DataNov25,7,0)*$Q$1*BaseIncrPerc2025</f>
        <v>41.083951999999996</v>
      </c>
      <c r="X9" s="129"/>
      <c r="Z9" s="94" t="str">
        <f t="shared" si="2"/>
        <v>52938C</v>
      </c>
      <c r="AA9" s="94" t="str">
        <f t="shared" si="2"/>
        <v>Water Distribution Operator</v>
      </c>
      <c r="AB9" s="98" t="str">
        <f t="shared" si="2"/>
        <v>01</v>
      </c>
      <c r="AC9" s="99">
        <f t="shared" si="3"/>
        <v>35.526000000000003</v>
      </c>
      <c r="AD9" s="99">
        <f t="shared" si="3"/>
        <v>37.286000000000001</v>
      </c>
      <c r="AE9" s="99">
        <f t="shared" si="3"/>
        <v>39.136000000000003</v>
      </c>
      <c r="AF9" s="99">
        <f t="shared" si="3"/>
        <v>41.084000000000003</v>
      </c>
      <c r="AG9" s="94"/>
    </row>
    <row r="10" spans="2:33" x14ac:dyDescent="0.25">
      <c r="B10" s="11" t="s">
        <v>8</v>
      </c>
      <c r="C10" s="11">
        <v>2</v>
      </c>
      <c r="D10" s="80" t="s">
        <v>188</v>
      </c>
      <c r="E10" s="61" t="s">
        <v>189</v>
      </c>
      <c r="F10" s="6" t="s">
        <v>190</v>
      </c>
      <c r="G10" s="3">
        <v>345</v>
      </c>
      <c r="H10" s="3">
        <v>7</v>
      </c>
      <c r="I10" s="3" t="s">
        <v>12</v>
      </c>
      <c r="J10" s="50">
        <f t="shared" ca="1" si="0"/>
        <v>37.871813979999992</v>
      </c>
      <c r="K10" s="50">
        <f t="shared" ca="1" si="0"/>
        <v>39.865921549999996</v>
      </c>
      <c r="L10" s="50">
        <f t="shared" ca="1" si="0"/>
        <v>41.963900159999994</v>
      </c>
      <c r="M10" s="50">
        <f t="shared" ref="M10:M11" ca="1" si="4">W10</f>
        <v>44.172241749999991</v>
      </c>
      <c r="N10" s="50"/>
      <c r="O10" s="58"/>
      <c r="P10" s="85" t="s">
        <v>149</v>
      </c>
      <c r="Q10" s="86" t="s">
        <v>188</v>
      </c>
      <c r="R10" s="85" t="str">
        <f t="shared" si="1"/>
        <v>Water Loss &amp; Service Connection Inspector</v>
      </c>
      <c r="S10" s="90" t="str">
        <f>E10</f>
        <v>10</v>
      </c>
      <c r="T10" s="91">
        <f ca="1">VLOOKUP($Q10,DataNov25,4,0)*$Q$1*BaseIncrPerc2025</f>
        <v>37.871813979999992</v>
      </c>
      <c r="U10" s="91">
        <f ca="1">VLOOKUP($Q10,DataNov25,5,0)*$Q$1*BaseIncrPerc2025</f>
        <v>39.865921549999996</v>
      </c>
      <c r="V10" s="91">
        <f ca="1">VLOOKUP($Q10,DataNov25,6,0)*$Q$1*BaseIncrPerc2025</f>
        <v>41.963900159999994</v>
      </c>
      <c r="W10" s="91">
        <f ca="1">VLOOKUP($Q10,DataNov25,7,0)*$Q$1*BaseIncrPerc2025</f>
        <v>44.172241749999991</v>
      </c>
      <c r="X10" s="129"/>
      <c r="Z10" s="94" t="s">
        <v>188</v>
      </c>
      <c r="AA10" s="94" t="str">
        <f t="shared" si="2"/>
        <v>Water Loss &amp; Service Connection Inspector</v>
      </c>
      <c r="AB10" s="98" t="str">
        <f t="shared" si="2"/>
        <v>10</v>
      </c>
      <c r="AC10" s="99">
        <f t="shared" ca="1" si="3"/>
        <v>37.872</v>
      </c>
      <c r="AD10" s="99">
        <f t="shared" ca="1" si="3"/>
        <v>39.866</v>
      </c>
      <c r="AE10" s="99">
        <f t="shared" ca="1" si="3"/>
        <v>41.963999999999999</v>
      </c>
      <c r="AF10" s="99">
        <f t="shared" ref="AF10:AF11" ca="1" si="5">ROUND(W10,3)</f>
        <v>44.171999999999997</v>
      </c>
      <c r="AG10" s="94"/>
    </row>
    <row r="11" spans="2:33" x14ac:dyDescent="0.25">
      <c r="B11" s="55" t="s">
        <v>8</v>
      </c>
      <c r="C11" s="55">
        <v>2</v>
      </c>
      <c r="D11" s="81" t="s">
        <v>91</v>
      </c>
      <c r="E11" s="63" t="s">
        <v>92</v>
      </c>
      <c r="F11" s="56" t="s">
        <v>57</v>
      </c>
      <c r="G11" s="57">
        <v>340</v>
      </c>
      <c r="H11" s="57">
        <v>7</v>
      </c>
      <c r="I11" s="57" t="s">
        <v>12</v>
      </c>
      <c r="J11" s="59">
        <f t="shared" si="0"/>
        <v>37.887005332954885</v>
      </c>
      <c r="K11" s="59">
        <f t="shared" si="0"/>
        <v>39.690268199922954</v>
      </c>
      <c r="L11" s="59">
        <f t="shared" si="0"/>
        <v>41.580961993774309</v>
      </c>
      <c r="M11" s="59">
        <f t="shared" si="4"/>
        <v>43.56181893097407</v>
      </c>
      <c r="N11" s="50"/>
      <c r="P11" s="85" t="s">
        <v>149</v>
      </c>
      <c r="Q11" s="86" t="str">
        <f>D11</f>
        <v>52939C</v>
      </c>
      <c r="R11" s="85" t="str">
        <f t="shared" si="1"/>
        <v>Senior Water Distribution Operator</v>
      </c>
      <c r="S11" s="90" t="str">
        <f>E11</f>
        <v>02</v>
      </c>
      <c r="T11" s="91">
        <f>VLOOKUP($Q11,DataNov25,4,0)*$Q$1*BaseIncrPerc2025</f>
        <v>37.887005332954885</v>
      </c>
      <c r="U11" s="91">
        <f>VLOOKUP($Q11,DataNov25,5,0)*$Q$1*BaseIncrPerc2025</f>
        <v>39.690268199922954</v>
      </c>
      <c r="V11" s="91">
        <f>VLOOKUP($Q11,DataNov25,6,0)*$Q$1*BaseIncrPerc2025</f>
        <v>41.580961993774309</v>
      </c>
      <c r="W11" s="91">
        <f>VLOOKUP($Q11,DataNov25,7,0)*$Q$1*BaseIncrPerc2025</f>
        <v>43.56181893097407</v>
      </c>
      <c r="X11" s="129"/>
      <c r="Z11" s="94" t="str">
        <f t="shared" ref="Z11:AB11" si="6">Q11</f>
        <v>52939C</v>
      </c>
      <c r="AA11" s="94" t="str">
        <f t="shared" si="6"/>
        <v>Senior Water Distribution Operator</v>
      </c>
      <c r="AB11" s="98" t="str">
        <f t="shared" si="6"/>
        <v>02</v>
      </c>
      <c r="AC11" s="99">
        <f t="shared" si="3"/>
        <v>37.887</v>
      </c>
      <c r="AD11" s="99">
        <f t="shared" si="3"/>
        <v>39.69</v>
      </c>
      <c r="AE11" s="99">
        <f t="shared" si="3"/>
        <v>41.581000000000003</v>
      </c>
      <c r="AF11" s="99">
        <f t="shared" si="5"/>
        <v>43.561999999999998</v>
      </c>
      <c r="AG11" s="94"/>
    </row>
    <row r="12" spans="2:33" x14ac:dyDescent="0.25">
      <c r="B12" s="132" t="s">
        <v>161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X12" s="86"/>
      <c r="AG12" s="94"/>
    </row>
    <row r="13" spans="2:33" x14ac:dyDescent="0.25">
      <c r="B13" s="11"/>
      <c r="C13" s="11"/>
      <c r="D13" s="12"/>
      <c r="E13" s="66"/>
      <c r="F13" s="6"/>
      <c r="G13" s="3"/>
      <c r="H13" s="3"/>
      <c r="I13" s="3"/>
      <c r="J13" s="40"/>
      <c r="K13" s="40"/>
      <c r="L13" s="40"/>
      <c r="M13" s="40"/>
      <c r="X13" s="86"/>
      <c r="AG13" s="94"/>
    </row>
    <row r="14" spans="2:33" x14ac:dyDescent="0.25">
      <c r="B14" s="17" t="s">
        <v>26</v>
      </c>
      <c r="C14" s="2"/>
      <c r="D14" s="2"/>
      <c r="E14" s="64"/>
      <c r="F14" s="17"/>
      <c r="G14" s="2"/>
      <c r="H14" s="2"/>
      <c r="I14" s="2"/>
      <c r="J14" s="2"/>
      <c r="K14" s="2"/>
      <c r="L14" s="2"/>
      <c r="M14" s="2"/>
      <c r="X14" s="86"/>
      <c r="AG14" s="94"/>
    </row>
    <row r="15" spans="2:33" x14ac:dyDescent="0.25">
      <c r="B15" s="18" t="s">
        <v>27</v>
      </c>
      <c r="C15" s="19"/>
      <c r="D15" s="19"/>
      <c r="E15" s="67"/>
      <c r="F15" s="19"/>
      <c r="G15" s="19"/>
      <c r="H15" s="19"/>
      <c r="I15" s="19"/>
      <c r="J15" s="80"/>
      <c r="K15" s="80"/>
      <c r="L15" s="80"/>
      <c r="M15" s="80"/>
      <c r="X15" s="86"/>
      <c r="AG15" s="94"/>
    </row>
    <row r="16" spans="2:33" x14ac:dyDescent="0.25">
      <c r="B16" s="18" t="s">
        <v>28</v>
      </c>
      <c r="C16" s="19"/>
      <c r="D16" s="19"/>
      <c r="E16" s="67"/>
      <c r="F16" s="19"/>
      <c r="G16" s="19"/>
      <c r="H16" s="19"/>
      <c r="I16" s="19"/>
      <c r="J16" s="80"/>
      <c r="K16" s="80"/>
      <c r="L16" s="82"/>
      <c r="M16" s="80"/>
      <c r="X16" s="86"/>
      <c r="Z16" s="94" t="s">
        <v>26</v>
      </c>
      <c r="AG16" s="94"/>
    </row>
    <row r="17" spans="1:33" x14ac:dyDescent="0.25">
      <c r="B17" s="20">
        <f ca="1">T17</f>
        <v>0.38844990612553115</v>
      </c>
      <c r="C17" s="18" t="s">
        <v>29</v>
      </c>
      <c r="E17" s="68"/>
      <c r="F17" s="19"/>
      <c r="G17" s="19"/>
      <c r="H17" s="19"/>
      <c r="I17" s="21"/>
      <c r="J17" s="21"/>
      <c r="K17" s="16"/>
      <c r="L17" s="21"/>
      <c r="M17" s="49"/>
      <c r="P17" s="85" t="s">
        <v>149</v>
      </c>
      <c r="Q17" s="86" t="s">
        <v>127</v>
      </c>
      <c r="T17" s="91">
        <f ca="1">VLOOKUP($Q17,DataNov25,4,0)*$Q$1*BaseIncrPerc2025</f>
        <v>0.38844990612553115</v>
      </c>
      <c r="X17" s="86"/>
      <c r="Z17" s="94" t="str">
        <f>Q17</f>
        <v>Year 10</v>
      </c>
      <c r="AC17" s="99">
        <f t="shared" ref="AC17:AC20" ca="1" si="7">ROUND(T17,3)</f>
        <v>0.38800000000000001</v>
      </c>
      <c r="AG17" s="94"/>
    </row>
    <row r="18" spans="1:33" x14ac:dyDescent="0.25">
      <c r="B18" s="20">
        <f t="shared" ref="B18:B20" ca="1" si="8">T18</f>
        <v>0.54406745261618727</v>
      </c>
      <c r="C18" s="18" t="s">
        <v>30</v>
      </c>
      <c r="E18" s="68"/>
      <c r="F18" s="19"/>
      <c r="G18" s="19"/>
      <c r="H18" s="19"/>
      <c r="I18" s="21"/>
      <c r="J18" s="21"/>
      <c r="K18" s="16"/>
      <c r="L18" s="21"/>
      <c r="M18" s="49"/>
      <c r="P18" s="85" t="s">
        <v>149</v>
      </c>
      <c r="Q18" s="86" t="s">
        <v>128</v>
      </c>
      <c r="T18" s="91">
        <f ca="1">VLOOKUP($Q18,DataNov25,4,0)*$Q$1*BaseIncrPerc2025</f>
        <v>0.54406745261618727</v>
      </c>
      <c r="X18" s="86"/>
      <c r="Z18" s="94" t="str">
        <f t="shared" ref="Z18:Z20" si="9">Q18</f>
        <v>Year 15</v>
      </c>
      <c r="AC18" s="99">
        <f t="shared" ca="1" si="7"/>
        <v>0.54400000000000004</v>
      </c>
      <c r="AG18" s="94"/>
    </row>
    <row r="19" spans="1:33" x14ac:dyDescent="0.25">
      <c r="B19" s="20">
        <f t="shared" ca="1" si="8"/>
        <v>0.65929571223140604</v>
      </c>
      <c r="C19" s="18" t="s">
        <v>31</v>
      </c>
      <c r="E19" s="68"/>
      <c r="F19" s="19"/>
      <c r="G19" s="19"/>
      <c r="H19" s="19"/>
      <c r="I19" s="21"/>
      <c r="J19" s="21"/>
      <c r="K19" s="16"/>
      <c r="L19" s="2"/>
      <c r="M19" s="49"/>
      <c r="P19" s="85" t="s">
        <v>149</v>
      </c>
      <c r="Q19" s="86" t="s">
        <v>129</v>
      </c>
      <c r="T19" s="91">
        <f ca="1">VLOOKUP($Q19,DataNov25,4,0)*$Q$1*BaseIncrPerc2025</f>
        <v>0.65929571223140604</v>
      </c>
      <c r="X19" s="86"/>
      <c r="Z19" s="94" t="str">
        <f t="shared" si="9"/>
        <v>Year 20</v>
      </c>
      <c r="AC19" s="99">
        <f t="shared" ca="1" si="7"/>
        <v>0.65900000000000003</v>
      </c>
      <c r="AG19" s="94"/>
    </row>
    <row r="20" spans="1:33" x14ac:dyDescent="0.25">
      <c r="B20" s="20">
        <f t="shared" ca="1" si="8"/>
        <v>0.77333605164440611</v>
      </c>
      <c r="C20" s="18" t="s">
        <v>32</v>
      </c>
      <c r="E20" s="67"/>
      <c r="F20" s="19"/>
      <c r="G20" s="19"/>
      <c r="H20" s="19"/>
      <c r="I20" s="21"/>
      <c r="J20" s="21"/>
      <c r="K20" s="16"/>
      <c r="L20" s="21"/>
      <c r="M20" s="49"/>
      <c r="P20" s="85" t="s">
        <v>149</v>
      </c>
      <c r="Q20" s="86" t="s">
        <v>130</v>
      </c>
      <c r="T20" s="91">
        <f ca="1">VLOOKUP($Q20,DataNov25,4,0)*$Q$1*BaseIncrPerc2025</f>
        <v>0.77333605164440611</v>
      </c>
      <c r="X20" s="86"/>
      <c r="Z20" s="94" t="str">
        <f t="shared" si="9"/>
        <v>Year 25</v>
      </c>
      <c r="AC20" s="99">
        <f t="shared" ca="1" si="7"/>
        <v>0.77300000000000002</v>
      </c>
      <c r="AG20" s="94"/>
    </row>
    <row r="21" spans="1:33" x14ac:dyDescent="0.25">
      <c r="B21" s="17"/>
      <c r="C21" s="2"/>
      <c r="D21" s="2"/>
      <c r="E21" s="64"/>
      <c r="F21" s="17"/>
      <c r="G21" s="2"/>
      <c r="H21" s="2"/>
      <c r="I21" s="2"/>
      <c r="K21" s="2"/>
      <c r="L21" s="2"/>
      <c r="M21" s="2"/>
      <c r="X21" s="86"/>
      <c r="AG21" s="94"/>
    </row>
    <row r="22" spans="1:33" x14ac:dyDescent="0.25">
      <c r="B22" s="23" t="s">
        <v>33</v>
      </c>
      <c r="C22" s="21"/>
      <c r="D22" s="21"/>
      <c r="E22" s="69"/>
      <c r="F22" s="21"/>
      <c r="G22" s="21"/>
      <c r="H22" s="21"/>
      <c r="I22" s="21"/>
      <c r="J22" s="21"/>
      <c r="K22" s="21"/>
      <c r="L22" s="21"/>
      <c r="M22" s="21"/>
      <c r="X22" s="86"/>
      <c r="AG22" s="94"/>
    </row>
    <row r="23" spans="1:33" x14ac:dyDescent="0.25">
      <c r="B23" s="18" t="s">
        <v>58</v>
      </c>
      <c r="C23" s="19"/>
      <c r="D23" s="19"/>
      <c r="E23" s="67"/>
      <c r="F23" s="19"/>
      <c r="G23" s="19"/>
      <c r="H23" s="19"/>
      <c r="I23" s="19"/>
      <c r="J23" s="21"/>
      <c r="K23" s="21"/>
      <c r="L23" s="21"/>
      <c r="M23" s="21"/>
      <c r="X23" s="86"/>
      <c r="AG23" s="94"/>
    </row>
    <row r="24" spans="1:33" x14ac:dyDescent="0.25">
      <c r="B24" s="18" t="str">
        <f>"effective 1/1/2023, the safety shoe rate was increased from $0.070 to "&amp;TEXT(T24,"$0.000")&amp;" per hour"</f>
        <v>effective 1/1/2023, the safety shoe rate was increased from $0.070 to $0.100 per hour</v>
      </c>
      <c r="C24" s="19"/>
      <c r="D24" s="19"/>
      <c r="E24" s="67"/>
      <c r="F24" s="19"/>
      <c r="G24" s="74"/>
      <c r="H24" s="19"/>
      <c r="I24" s="19"/>
      <c r="J24" s="21"/>
      <c r="K24" s="21"/>
      <c r="L24" s="21"/>
      <c r="M24" s="21"/>
      <c r="P24" s="85" t="s">
        <v>8</v>
      </c>
      <c r="Q24" s="86" t="s">
        <v>33</v>
      </c>
      <c r="T24" s="91">
        <v>0.1</v>
      </c>
      <c r="X24" s="86"/>
      <c r="Z24" s="94" t="str">
        <f t="shared" ref="Z24" si="10">Q24</f>
        <v>Safety Shoes</v>
      </c>
      <c r="AC24" s="99">
        <f t="shared" ref="AC24" si="11">ROUND(T24,3)</f>
        <v>0.1</v>
      </c>
      <c r="AG24" s="94"/>
    </row>
    <row r="25" spans="1:33" x14ac:dyDescent="0.25">
      <c r="B25" s="18"/>
      <c r="C25" s="19"/>
      <c r="D25" s="19"/>
      <c r="E25" s="67"/>
      <c r="F25" s="19"/>
      <c r="G25" s="19"/>
      <c r="H25" s="19"/>
      <c r="I25" s="19"/>
      <c r="J25" s="21"/>
      <c r="K25" s="21"/>
      <c r="L25" s="21"/>
      <c r="M25" s="21"/>
      <c r="X25" s="86"/>
      <c r="AG25" s="94"/>
    </row>
    <row r="26" spans="1:33" s="26" customFormat="1" x14ac:dyDescent="0.25">
      <c r="B26" s="26" t="s">
        <v>160</v>
      </c>
      <c r="E26" s="70"/>
      <c r="P26" s="92"/>
      <c r="Q26" s="93"/>
      <c r="R26" s="92"/>
      <c r="S26" s="93"/>
      <c r="T26" s="93"/>
      <c r="U26" s="93"/>
      <c r="V26" s="93"/>
      <c r="W26" s="93"/>
      <c r="X26" s="86"/>
      <c r="Y26" s="126"/>
      <c r="Z26" s="100"/>
      <c r="AA26" s="100"/>
      <c r="AB26" s="100"/>
      <c r="AC26" s="113"/>
      <c r="AD26" s="100"/>
      <c r="AE26" s="100"/>
      <c r="AF26" s="100"/>
      <c r="AG26" s="94"/>
    </row>
    <row r="27" spans="1:33" x14ac:dyDescent="0.25">
      <c r="B27" s="4" t="s">
        <v>168</v>
      </c>
      <c r="X27" s="86"/>
      <c r="AG27" s="94"/>
    </row>
    <row r="28" spans="1:33" x14ac:dyDescent="0.25">
      <c r="A28" t="s">
        <v>124</v>
      </c>
      <c r="B28" s="20">
        <f t="shared" ref="B28:B30" ca="1" si="12">T28</f>
        <v>0.68424203647799975</v>
      </c>
      <c r="C28" s="4" t="s">
        <v>169</v>
      </c>
      <c r="M28" s="21"/>
      <c r="P28" s="85" t="s">
        <v>149</v>
      </c>
      <c r="Q28" s="86" t="s">
        <v>124</v>
      </c>
      <c r="R28" s="85" t="s">
        <v>136</v>
      </c>
      <c r="T28" s="91">
        <f ca="1">VLOOKUP($Q28,DataNov25,4,0)*$Q$1*BaseIncrPerc2025</f>
        <v>0.68424203647799975</v>
      </c>
      <c r="X28" s="86"/>
      <c r="Z28" s="94" t="str">
        <f t="shared" ref="Z28:AA30" si="13">Q28</f>
        <v>CAWWOC</v>
      </c>
      <c r="AA28" s="94" t="str">
        <f t="shared" si="13"/>
        <v>Water Operator Certification-C</v>
      </c>
      <c r="AC28" s="99">
        <f t="shared" ref="AC28:AC30" ca="1" si="14">ROUND(T28,3)</f>
        <v>0.68400000000000005</v>
      </c>
      <c r="AG28" s="94"/>
    </row>
    <row r="29" spans="1:33" x14ac:dyDescent="0.25">
      <c r="A29" t="s">
        <v>123</v>
      </c>
      <c r="B29" s="20">
        <f t="shared" ca="1" si="12"/>
        <v>1.0323026557280934</v>
      </c>
      <c r="C29" s="4" t="s">
        <v>48</v>
      </c>
      <c r="M29" s="21"/>
      <c r="P29" s="85" t="s">
        <v>149</v>
      </c>
      <c r="Q29" s="86" t="s">
        <v>123</v>
      </c>
      <c r="R29" s="85" t="s">
        <v>137</v>
      </c>
      <c r="T29" s="91">
        <f ca="1">VLOOKUP($Q29,DataNov25,4,0)*$Q$1*BaseIncrPerc2025</f>
        <v>1.0323026557280934</v>
      </c>
      <c r="X29" s="86"/>
      <c r="Z29" s="94" t="str">
        <f t="shared" si="13"/>
        <v>CAWWOB</v>
      </c>
      <c r="AA29" s="94" t="str">
        <f t="shared" si="13"/>
        <v>Water Operator Certification-B</v>
      </c>
      <c r="AC29" s="99">
        <f t="shared" ca="1" si="14"/>
        <v>1.032</v>
      </c>
      <c r="AG29" s="94"/>
    </row>
    <row r="30" spans="1:33" x14ac:dyDescent="0.25">
      <c r="A30" t="s">
        <v>122</v>
      </c>
      <c r="B30" s="20">
        <f t="shared" ca="1" si="12"/>
        <v>1.3803632749781869</v>
      </c>
      <c r="C30" s="4" t="s">
        <v>49</v>
      </c>
      <c r="M30" s="21"/>
      <c r="P30" s="85" t="s">
        <v>149</v>
      </c>
      <c r="Q30" s="86" t="s">
        <v>122</v>
      </c>
      <c r="R30" s="85" t="s">
        <v>138</v>
      </c>
      <c r="T30" s="91">
        <f ca="1">VLOOKUP($Q30,DataNov25,4,0)*$Q$1*BaseIncrPerc2025</f>
        <v>1.3803632749781869</v>
      </c>
      <c r="X30" s="86"/>
      <c r="Z30" s="94" t="str">
        <f t="shared" si="13"/>
        <v>CAWWOA</v>
      </c>
      <c r="AA30" s="94" t="str">
        <f t="shared" si="13"/>
        <v>Water Operator Certification-A</v>
      </c>
      <c r="AC30" s="99">
        <f t="shared" ca="1" si="14"/>
        <v>1.38</v>
      </c>
      <c r="AG30" s="94"/>
    </row>
    <row r="31" spans="1:33" x14ac:dyDescent="0.25">
      <c r="T31" s="91"/>
      <c r="X31" s="86"/>
      <c r="AG31" s="94"/>
    </row>
    <row r="32" spans="1:33" x14ac:dyDescent="0.25">
      <c r="B32" s="24" t="s">
        <v>170</v>
      </c>
      <c r="C32" s="27"/>
      <c r="D32" s="27"/>
      <c r="E32" s="72"/>
      <c r="F32" s="29"/>
      <c r="G32" s="29"/>
      <c r="H32" s="29"/>
      <c r="I32" s="29"/>
      <c r="J32" s="29"/>
      <c r="K32" s="29"/>
      <c r="L32" s="29"/>
      <c r="M32" s="29"/>
      <c r="T32" s="91"/>
      <c r="X32" s="86"/>
      <c r="AG32" s="94"/>
    </row>
    <row r="33" spans="1:33" x14ac:dyDescent="0.25">
      <c r="B33" s="20">
        <f t="shared" ref="B33" ca="1" si="15">T33</f>
        <v>0.9969258126327496</v>
      </c>
      <c r="C33" s="37" t="s">
        <v>106</v>
      </c>
      <c r="D33" s="37" t="s">
        <v>172</v>
      </c>
      <c r="E33" s="73"/>
      <c r="F33" s="33"/>
      <c r="G33" s="33"/>
      <c r="H33" s="33"/>
      <c r="I33" s="33"/>
      <c r="J33" s="33"/>
      <c r="K33" s="29"/>
      <c r="L33" s="29"/>
      <c r="M33" s="29"/>
      <c r="P33" s="85" t="s">
        <v>149</v>
      </c>
      <c r="Q33" s="86" t="s">
        <v>125</v>
      </c>
      <c r="R33" s="85" t="s">
        <v>139</v>
      </c>
      <c r="T33" s="91">
        <f ca="1">VLOOKUP($Q33,DataNov25,4,0)*$Q$1*BaseIncrPerc2025</f>
        <v>0.9969258126327496</v>
      </c>
      <c r="X33" s="86"/>
      <c r="Z33" s="94" t="str">
        <f t="shared" ref="Z33:AA35" si="16">Q33</f>
        <v>CAWEVE</v>
      </c>
      <c r="AA33" s="94" t="str">
        <f t="shared" si="16"/>
        <v>TL-Afternoon Shift Premium-CAW</v>
      </c>
      <c r="AC33" s="99">
        <f t="shared" ref="AC33:AC35" ca="1" si="17">ROUND(T33,3)</f>
        <v>0.997</v>
      </c>
      <c r="AG33" s="94"/>
    </row>
    <row r="34" spans="1:33" x14ac:dyDescent="0.25">
      <c r="B34" s="30"/>
      <c r="C34" s="37"/>
      <c r="D34" s="37" t="s">
        <v>171</v>
      </c>
      <c r="E34" s="73"/>
      <c r="F34" s="33"/>
      <c r="G34" s="33"/>
      <c r="H34" s="33"/>
      <c r="I34" s="33"/>
      <c r="J34" s="33"/>
      <c r="K34" s="29"/>
      <c r="L34" s="29"/>
      <c r="M34" s="29"/>
      <c r="P34" s="85" t="s">
        <v>149</v>
      </c>
      <c r="Q34" s="86" t="s">
        <v>154</v>
      </c>
      <c r="R34" s="85" t="s">
        <v>163</v>
      </c>
      <c r="T34" s="91">
        <f ca="1">VLOOKUP($Q34,DataNov25,4,0)*$Q$1*BaseIncrPerc2025</f>
        <v>0.9969258126327496</v>
      </c>
      <c r="X34" s="86"/>
      <c r="Z34" s="94" t="str">
        <f t="shared" si="16"/>
        <v>CAWWKE</v>
      </c>
      <c r="AA34" s="94" t="str">
        <f t="shared" si="16"/>
        <v>Weekend shift-CAW</v>
      </c>
      <c r="AC34" s="99">
        <f t="shared" ca="1" si="17"/>
        <v>0.997</v>
      </c>
      <c r="AG34" s="94"/>
    </row>
    <row r="35" spans="1:33" x14ac:dyDescent="0.25">
      <c r="B35" s="20">
        <f t="shared" ref="B35" ca="1" si="18">T35</f>
        <v>1.4867118310818206</v>
      </c>
      <c r="C35" s="37" t="s">
        <v>106</v>
      </c>
      <c r="D35" s="37" t="s">
        <v>185</v>
      </c>
      <c r="E35" s="73"/>
      <c r="F35" s="33"/>
      <c r="G35" s="33"/>
      <c r="H35" s="33"/>
      <c r="I35" s="33"/>
      <c r="J35" s="33"/>
      <c r="K35" s="29"/>
      <c r="L35" s="29"/>
      <c r="M35" s="29"/>
      <c r="P35" s="85" t="s">
        <v>149</v>
      </c>
      <c r="Q35" s="86" t="s">
        <v>126</v>
      </c>
      <c r="R35" s="85" t="s">
        <v>140</v>
      </c>
      <c r="T35" s="91">
        <f ca="1">VLOOKUP($Q35,DataNov25,4,0)*$Q$1*BaseIncrPerc2025</f>
        <v>1.4867118310818206</v>
      </c>
      <c r="X35" s="86"/>
      <c r="Z35" s="94" t="str">
        <f t="shared" si="16"/>
        <v>CAWNIT</v>
      </c>
      <c r="AA35" s="94" t="str">
        <f t="shared" si="16"/>
        <v>TL-Night Shift Premium-CPL</v>
      </c>
      <c r="AC35" s="99">
        <f t="shared" ca="1" si="17"/>
        <v>1.4870000000000001</v>
      </c>
      <c r="AG35" s="94"/>
    </row>
    <row r="36" spans="1:33" x14ac:dyDescent="0.25">
      <c r="B36" s="30"/>
      <c r="C36" s="31"/>
      <c r="D36" s="31"/>
      <c r="E36" s="73"/>
      <c r="F36" s="33"/>
      <c r="G36" s="33"/>
      <c r="H36" s="33"/>
      <c r="I36" s="33"/>
      <c r="J36" s="33"/>
      <c r="K36" s="29"/>
      <c r="L36" s="29"/>
      <c r="M36" s="29"/>
      <c r="T36" s="91"/>
      <c r="X36" s="86"/>
      <c r="AG36" s="94"/>
    </row>
    <row r="37" spans="1:33" x14ac:dyDescent="0.25">
      <c r="B37" s="103" t="s">
        <v>178</v>
      </c>
      <c r="C37" s="36"/>
      <c r="D37" s="34"/>
      <c r="E37" s="73"/>
      <c r="F37" s="33"/>
      <c r="G37" s="35"/>
      <c r="H37" s="35"/>
      <c r="I37" s="35"/>
      <c r="J37" s="38"/>
      <c r="K37" s="39"/>
      <c r="L37" s="33"/>
      <c r="M37" s="33"/>
      <c r="T37" s="91"/>
      <c r="X37" s="86"/>
      <c r="AG37" s="94"/>
    </row>
    <row r="38" spans="1:33" x14ac:dyDescent="0.25">
      <c r="B38" s="22">
        <f ca="1">T38</f>
        <v>0.90906635820000004</v>
      </c>
      <c r="C38" s="119" t="s">
        <v>106</v>
      </c>
      <c r="D38" s="119" t="s">
        <v>173</v>
      </c>
      <c r="E38" s="73"/>
      <c r="F38" s="33"/>
      <c r="G38" s="35"/>
      <c r="H38" s="35"/>
      <c r="I38" s="35"/>
      <c r="J38" s="38"/>
      <c r="K38" s="39"/>
      <c r="L38" s="33"/>
      <c r="M38" s="33"/>
      <c r="P38" s="85" t="s">
        <v>149</v>
      </c>
      <c r="Q38" s="86" t="s">
        <v>164</v>
      </c>
      <c r="R38" s="85" t="s">
        <v>165</v>
      </c>
      <c r="T38" s="91">
        <f ca="1">VLOOKUP($Q38,DataNov25,4,0)*$Q$1*BaseIncrPerc2025</f>
        <v>0.90906635820000004</v>
      </c>
      <c r="U38" s="105"/>
      <c r="X38" s="86"/>
      <c r="Z38" s="94" t="str">
        <f>Q38</f>
        <v>CAWGLA</v>
      </c>
      <c r="AA38" s="94" t="str">
        <f t="shared" ref="AA38:AA42" si="19">R38</f>
        <v>Gate Truck Lead Assignment</v>
      </c>
      <c r="AC38" s="99">
        <f t="shared" ref="AC38:AC42" ca="1" si="20">ROUND(T38,3)</f>
        <v>0.90900000000000003</v>
      </c>
      <c r="AG38" s="94"/>
    </row>
    <row r="39" spans="1:33" x14ac:dyDescent="0.25">
      <c r="A39" s="104"/>
      <c r="B39" s="22">
        <f t="shared" ref="B39:B42" ca="1" si="21">T39</f>
        <v>0.42765127279874987</v>
      </c>
      <c r="C39" s="119" t="s">
        <v>106</v>
      </c>
      <c r="D39" s="119" t="s">
        <v>174</v>
      </c>
      <c r="E39" s="73"/>
      <c r="F39" s="33"/>
      <c r="G39" s="35"/>
      <c r="H39" s="35"/>
      <c r="I39" s="35"/>
      <c r="J39" s="38"/>
      <c r="K39" s="39"/>
      <c r="L39" s="33"/>
      <c r="M39" s="33"/>
      <c r="P39" s="85" t="s">
        <v>149</v>
      </c>
      <c r="Q39" s="86" t="s">
        <v>118</v>
      </c>
      <c r="R39" s="85" t="s">
        <v>131</v>
      </c>
      <c r="T39" s="91">
        <f ca="1">VLOOKUP($Q39,DataNov25,4,0)*$Q$1*BaseIncrPerc2025</f>
        <v>0.42765127279874987</v>
      </c>
      <c r="X39" s="86"/>
      <c r="Z39" s="94" t="str">
        <f>Q39</f>
        <v>CAWGTT</v>
      </c>
      <c r="AA39" s="94" t="str">
        <f t="shared" si="19"/>
        <v>TL-Gate Truck Premium-CAW</v>
      </c>
      <c r="AC39" s="99">
        <f t="shared" ca="1" si="20"/>
        <v>0.42799999999999999</v>
      </c>
      <c r="AG39" s="94"/>
    </row>
    <row r="40" spans="1:33" x14ac:dyDescent="0.25">
      <c r="A40" s="104"/>
      <c r="B40" s="22">
        <f t="shared" ca="1" si="21"/>
        <v>0.42765127279874987</v>
      </c>
      <c r="C40" s="118" t="s">
        <v>106</v>
      </c>
      <c r="D40" s="118" t="s">
        <v>175</v>
      </c>
      <c r="E40" s="73"/>
      <c r="F40" s="33"/>
      <c r="G40" s="35"/>
      <c r="H40" s="35"/>
      <c r="I40" s="35"/>
      <c r="J40" s="33"/>
      <c r="K40" s="33"/>
      <c r="L40" s="33"/>
      <c r="M40" s="33"/>
      <c r="P40" s="85" t="s">
        <v>149</v>
      </c>
      <c r="Q40" s="86" t="s">
        <v>117</v>
      </c>
      <c r="R40" s="85" t="s">
        <v>156</v>
      </c>
      <c r="T40" s="91">
        <f ca="1">VLOOKUP($Q40,DataNov25,4,0)*$Q$1*BaseIncrPerc2025</f>
        <v>0.42765127279874987</v>
      </c>
      <c r="X40" s="86"/>
      <c r="Z40" s="94" t="str">
        <f>Q40</f>
        <v>CAWTAP</v>
      </c>
      <c r="AA40" s="94" t="str">
        <f t="shared" si="19"/>
        <v>TL-Lrg &amp; Sml Taper Premium-CAW</v>
      </c>
      <c r="AC40" s="99">
        <f t="shared" ca="1" si="20"/>
        <v>0.42799999999999999</v>
      </c>
      <c r="AG40" s="94"/>
    </row>
    <row r="41" spans="1:33" x14ac:dyDescent="0.25">
      <c r="A41" s="104" t="s">
        <v>126</v>
      </c>
      <c r="B41" s="22">
        <f t="shared" ca="1" si="21"/>
        <v>1.4053095992247806</v>
      </c>
      <c r="C41" s="116" t="s">
        <v>106</v>
      </c>
      <c r="D41" s="117" t="s">
        <v>176</v>
      </c>
      <c r="E41" s="73"/>
      <c r="F41" s="29"/>
      <c r="G41" s="29"/>
      <c r="H41" s="35"/>
      <c r="I41" s="35"/>
      <c r="M41" s="33"/>
      <c r="P41" s="85" t="s">
        <v>149</v>
      </c>
      <c r="Q41" s="86" t="s">
        <v>121</v>
      </c>
      <c r="R41" s="85" t="s">
        <v>135</v>
      </c>
      <c r="T41" s="91">
        <f ca="1">VLOOKUP($Q41,DataNov25,4,0)*$Q$1*BaseIncrPerc2025</f>
        <v>1.4053095992247806</v>
      </c>
      <c r="U41" s="106"/>
      <c r="X41" s="86"/>
      <c r="Z41" s="94" t="str">
        <f>Q41</f>
        <v>CAWRSP</v>
      </c>
      <c r="AA41" s="94" t="str">
        <f t="shared" si="19"/>
        <v>TL-Respirator-CAW</v>
      </c>
      <c r="AC41" s="99">
        <f t="shared" ca="1" si="20"/>
        <v>1.405</v>
      </c>
      <c r="AG41" s="94"/>
    </row>
    <row r="42" spans="1:33" x14ac:dyDescent="0.25">
      <c r="A42" s="104"/>
      <c r="B42" s="22">
        <f t="shared" ca="1" si="21"/>
        <v>0.42739686989999992</v>
      </c>
      <c r="C42" s="116" t="s">
        <v>106</v>
      </c>
      <c r="D42" s="118" t="s">
        <v>177</v>
      </c>
      <c r="E42" s="73"/>
      <c r="F42" s="33"/>
      <c r="G42" s="35"/>
      <c r="H42" s="35"/>
      <c r="I42" s="35"/>
      <c r="J42" s="33"/>
      <c r="K42" s="33"/>
      <c r="L42" s="33"/>
      <c r="M42" s="33"/>
      <c r="P42" s="85" t="s">
        <v>149</v>
      </c>
      <c r="Q42" s="86" t="s">
        <v>166</v>
      </c>
      <c r="R42" s="85" t="s">
        <v>167</v>
      </c>
      <c r="T42" s="91">
        <f ca="1">VLOOKUP($Q42,DataNov25,4,0)*$Q$1*BaseIncrPerc2025</f>
        <v>0.42739686989999992</v>
      </c>
      <c r="X42" s="86"/>
      <c r="Z42" s="94" t="str">
        <f>Q42</f>
        <v>CAWCMT</v>
      </c>
      <c r="AA42" s="94" t="str">
        <f t="shared" si="19"/>
        <v>Commercial Meter Testing (on-site)</v>
      </c>
      <c r="AC42" s="99">
        <f t="shared" ca="1" si="20"/>
        <v>0.42699999999999999</v>
      </c>
      <c r="AG42" s="94"/>
    </row>
    <row r="43" spans="1:33" x14ac:dyDescent="0.25">
      <c r="A43" s="104"/>
      <c r="B43" s="109"/>
      <c r="D43" s="37"/>
      <c r="E43" s="73"/>
      <c r="F43" s="33"/>
      <c r="G43" s="35"/>
      <c r="H43" s="35"/>
      <c r="I43" s="35"/>
      <c r="J43" s="33"/>
      <c r="K43" s="33"/>
      <c r="L43" s="33"/>
      <c r="M43" s="33"/>
      <c r="Q43" s="85"/>
      <c r="X43" s="86"/>
      <c r="AG43" s="94"/>
    </row>
    <row r="44" spans="1:33" x14ac:dyDescent="0.25">
      <c r="A44" s="104"/>
      <c r="B44" s="110"/>
      <c r="D44" s="37"/>
      <c r="E44" s="73"/>
      <c r="F44" s="33"/>
      <c r="G44" s="35"/>
      <c r="H44" s="35"/>
      <c r="I44" s="35"/>
      <c r="J44" s="33"/>
      <c r="K44" s="33"/>
      <c r="L44" s="33"/>
      <c r="M44" s="33"/>
      <c r="X44" s="86"/>
      <c r="AG44" s="94"/>
    </row>
    <row r="45" spans="1:33" x14ac:dyDescent="0.25">
      <c r="A45" s="104"/>
      <c r="B45" s="111"/>
      <c r="X45" s="86"/>
      <c r="AG45" s="94"/>
    </row>
    <row r="46" spans="1:33" x14ac:dyDescent="0.25">
      <c r="A46" s="104"/>
      <c r="B46" s="104"/>
      <c r="X46" s="86"/>
      <c r="AG46" s="94"/>
    </row>
    <row r="47" spans="1:33" x14ac:dyDescent="0.25">
      <c r="A47" s="104"/>
      <c r="B47" s="108"/>
      <c r="X47" s="86"/>
      <c r="AG47" s="94"/>
    </row>
    <row r="48" spans="1:33" x14ac:dyDescent="0.25">
      <c r="A48" s="104"/>
      <c r="B48" s="111"/>
      <c r="X48" s="86"/>
      <c r="AG48" s="94"/>
    </row>
    <row r="49" spans="1:33" x14ac:dyDescent="0.25">
      <c r="A49" s="104"/>
      <c r="B49" s="111" t="str">
        <f>B5</f>
        <v>Last updated June 8, 2026</v>
      </c>
      <c r="N49" s="4" t="s">
        <v>193</v>
      </c>
      <c r="X49" s="86"/>
      <c r="AG49" s="94"/>
    </row>
    <row r="50" spans="1:33" x14ac:dyDescent="0.25">
      <c r="A50" s="104"/>
      <c r="B50" s="104"/>
      <c r="X50" s="86"/>
      <c r="AG50" s="94"/>
    </row>
    <row r="51" spans="1:33" x14ac:dyDescent="0.25">
      <c r="A51" s="104"/>
      <c r="B51" s="108"/>
      <c r="X51" s="86"/>
      <c r="AG51" s="94"/>
    </row>
    <row r="52" spans="1:33" x14ac:dyDescent="0.25">
      <c r="A52" s="104"/>
      <c r="B52" s="111"/>
      <c r="X52" s="86"/>
      <c r="AG52" s="94"/>
    </row>
    <row r="53" spans="1:33" x14ac:dyDescent="0.25">
      <c r="A53" s="104"/>
      <c r="B53" s="111"/>
      <c r="X53" s="86"/>
      <c r="AG53" s="94"/>
    </row>
    <row r="54" spans="1:33" x14ac:dyDescent="0.25">
      <c r="A54" s="104"/>
      <c r="B54" s="111"/>
      <c r="X54" s="86"/>
      <c r="AG54" s="94"/>
    </row>
    <row r="55" spans="1:33" x14ac:dyDescent="0.25">
      <c r="A55" s="104"/>
      <c r="B55" s="111"/>
      <c r="X55" s="86"/>
      <c r="AG55" s="94"/>
    </row>
    <row r="56" spans="1:33" x14ac:dyDescent="0.25">
      <c r="A56" s="104"/>
      <c r="B56" s="104"/>
      <c r="X56" s="86"/>
      <c r="AG56" s="94"/>
    </row>
    <row r="57" spans="1:33" x14ac:dyDescent="0.25">
      <c r="A57" s="104"/>
      <c r="B57" s="108"/>
      <c r="X57" s="86"/>
      <c r="AG57" s="94"/>
    </row>
    <row r="58" spans="1:33" x14ac:dyDescent="0.25">
      <c r="A58" s="104"/>
      <c r="B58" s="111"/>
      <c r="X58" s="86"/>
      <c r="AG58" s="94"/>
    </row>
    <row r="59" spans="1:33" x14ac:dyDescent="0.25">
      <c r="A59" s="104"/>
      <c r="B59" s="111"/>
      <c r="X59" s="86"/>
      <c r="AG59" s="94"/>
    </row>
    <row r="60" spans="1:33" x14ac:dyDescent="0.25">
      <c r="A60" s="104"/>
      <c r="B60" s="111"/>
      <c r="X60" s="86"/>
      <c r="AG60" s="94"/>
    </row>
    <row r="61" spans="1:33" x14ac:dyDescent="0.25">
      <c r="X61" s="86"/>
      <c r="AG61" s="94"/>
    </row>
    <row r="62" spans="1:33" x14ac:dyDescent="0.25">
      <c r="X62" s="86"/>
      <c r="AG62" s="94"/>
    </row>
    <row r="63" spans="1:33" x14ac:dyDescent="0.25">
      <c r="X63" s="86"/>
      <c r="AG63" s="94"/>
    </row>
    <row r="64" spans="1:33" x14ac:dyDescent="0.25">
      <c r="X64" s="86"/>
      <c r="AG64" s="94"/>
    </row>
    <row r="65" spans="24:33" x14ac:dyDescent="0.25">
      <c r="X65" s="86"/>
      <c r="AG65" s="94"/>
    </row>
    <row r="66" spans="24:33" x14ac:dyDescent="0.25">
      <c r="X66" s="86"/>
      <c r="AG66" s="94"/>
    </row>
    <row r="67" spans="24:33" x14ac:dyDescent="0.25">
      <c r="X67" s="86"/>
      <c r="AG67" s="94"/>
    </row>
    <row r="68" spans="24:33" x14ac:dyDescent="0.25">
      <c r="X68" s="86"/>
      <c r="AG68" s="94"/>
    </row>
    <row r="69" spans="24:33" x14ac:dyDescent="0.25">
      <c r="X69" s="86"/>
      <c r="AG69" s="94"/>
    </row>
    <row r="70" spans="24:33" x14ac:dyDescent="0.25">
      <c r="X70" s="86"/>
      <c r="AG70" s="94"/>
    </row>
    <row r="71" spans="24:33" x14ac:dyDescent="0.25">
      <c r="X71" s="86"/>
      <c r="AG71" s="94"/>
    </row>
    <row r="72" spans="24:33" x14ac:dyDescent="0.25">
      <c r="X72" s="86"/>
      <c r="AG72" s="94"/>
    </row>
    <row r="73" spans="24:33" x14ac:dyDescent="0.25">
      <c r="X73" s="86"/>
      <c r="AG73" s="94"/>
    </row>
    <row r="74" spans="24:33" x14ac:dyDescent="0.25">
      <c r="X74" s="86"/>
      <c r="AG74" s="94"/>
    </row>
    <row r="75" spans="24:33" x14ac:dyDescent="0.25">
      <c r="X75" s="86"/>
      <c r="AG75" s="94"/>
    </row>
    <row r="76" spans="24:33" x14ac:dyDescent="0.25">
      <c r="X76" s="86"/>
      <c r="AG76" s="94"/>
    </row>
    <row r="77" spans="24:33" x14ac:dyDescent="0.25">
      <c r="X77" s="86"/>
      <c r="AG77" s="94"/>
    </row>
    <row r="78" spans="24:33" x14ac:dyDescent="0.25">
      <c r="X78" s="86"/>
      <c r="AG78" s="94"/>
    </row>
    <row r="79" spans="24:33" x14ac:dyDescent="0.25">
      <c r="X79" s="86"/>
      <c r="AG79" s="94"/>
    </row>
    <row r="80" spans="24:33" x14ac:dyDescent="0.25">
      <c r="X80" s="86"/>
      <c r="AG80" s="94"/>
    </row>
    <row r="81" spans="24:33" x14ac:dyDescent="0.25">
      <c r="X81" s="86"/>
      <c r="AG81" s="94"/>
    </row>
    <row r="82" spans="24:33" x14ac:dyDescent="0.25">
      <c r="X82" s="86"/>
      <c r="AG82" s="94"/>
    </row>
    <row r="83" spans="24:33" x14ac:dyDescent="0.25">
      <c r="X83" s="86"/>
      <c r="AG83" s="94"/>
    </row>
    <row r="84" spans="24:33" x14ac:dyDescent="0.25">
      <c r="X84" s="86"/>
      <c r="AG84" s="94"/>
    </row>
    <row r="85" spans="24:33" x14ac:dyDescent="0.25">
      <c r="X85" s="86"/>
      <c r="AG85" s="94"/>
    </row>
    <row r="86" spans="24:33" x14ac:dyDescent="0.25">
      <c r="X86" s="86"/>
      <c r="AG86" s="94"/>
    </row>
    <row r="87" spans="24:33" x14ac:dyDescent="0.25">
      <c r="X87" s="86"/>
      <c r="AG87" s="94"/>
    </row>
    <row r="88" spans="24:33" x14ac:dyDescent="0.25">
      <c r="X88" s="86"/>
      <c r="AG88" s="94"/>
    </row>
    <row r="89" spans="24:33" x14ac:dyDescent="0.25">
      <c r="X89" s="86"/>
      <c r="AG89" s="94"/>
    </row>
    <row r="90" spans="24:33" x14ac:dyDescent="0.25">
      <c r="X90" s="86"/>
      <c r="AG90" s="94"/>
    </row>
    <row r="91" spans="24:33" x14ac:dyDescent="0.25">
      <c r="X91" s="86"/>
      <c r="AG91" s="94"/>
    </row>
    <row r="92" spans="24:33" x14ac:dyDescent="0.25">
      <c r="X92" s="86"/>
      <c r="AG92" s="94"/>
    </row>
    <row r="93" spans="24:33" x14ac:dyDescent="0.25">
      <c r="X93" s="86"/>
      <c r="AG93" s="94"/>
    </row>
    <row r="94" spans="24:33" x14ac:dyDescent="0.25">
      <c r="X94" s="86"/>
      <c r="AG94" s="94"/>
    </row>
    <row r="95" spans="24:33" x14ac:dyDescent="0.25">
      <c r="X95" s="86"/>
      <c r="AG95" s="94"/>
    </row>
    <row r="96" spans="24:33" x14ac:dyDescent="0.25">
      <c r="X96" s="86"/>
      <c r="AG96" s="94"/>
    </row>
    <row r="97" spans="24:33" x14ac:dyDescent="0.25">
      <c r="X97" s="86"/>
      <c r="AG97" s="94"/>
    </row>
    <row r="98" spans="24:33" x14ac:dyDescent="0.25">
      <c r="X98" s="86"/>
      <c r="AG98" s="94"/>
    </row>
    <row r="99" spans="24:33" x14ac:dyDescent="0.25">
      <c r="X99" s="86"/>
      <c r="AG99" s="94"/>
    </row>
    <row r="100" spans="24:33" x14ac:dyDescent="0.25">
      <c r="X100" s="86"/>
      <c r="AG100" s="94"/>
    </row>
    <row r="101" spans="24:33" x14ac:dyDescent="0.25">
      <c r="X101" s="86"/>
      <c r="AG101" s="94"/>
    </row>
    <row r="102" spans="24:33" x14ac:dyDescent="0.25">
      <c r="X102" s="86"/>
      <c r="AG102" s="94"/>
    </row>
    <row r="103" spans="24:33" x14ac:dyDescent="0.25">
      <c r="X103" s="86"/>
      <c r="AG103" s="94"/>
    </row>
    <row r="104" spans="24:33" x14ac:dyDescent="0.25">
      <c r="X104" s="86"/>
      <c r="AG104" s="94"/>
    </row>
    <row r="105" spans="24:33" x14ac:dyDescent="0.25">
      <c r="X105" s="86"/>
      <c r="AG105" s="94"/>
    </row>
    <row r="106" spans="24:33" x14ac:dyDescent="0.25">
      <c r="X106" s="86"/>
      <c r="AG106" s="94"/>
    </row>
    <row r="107" spans="24:33" x14ac:dyDescent="0.25">
      <c r="X107" s="86"/>
      <c r="AG107" s="94"/>
    </row>
    <row r="108" spans="24:33" x14ac:dyDescent="0.25">
      <c r="X108" s="86"/>
      <c r="AG108" s="94"/>
    </row>
    <row r="109" spans="24:33" x14ac:dyDescent="0.25">
      <c r="X109" s="86"/>
      <c r="AG109" s="94"/>
    </row>
    <row r="110" spans="24:33" x14ac:dyDescent="0.25">
      <c r="X110" s="86"/>
      <c r="AG110" s="94"/>
    </row>
    <row r="111" spans="24:33" x14ac:dyDescent="0.25">
      <c r="X111" s="86"/>
      <c r="AG111" s="94"/>
    </row>
    <row r="112" spans="24:33" x14ac:dyDescent="0.25">
      <c r="X112" s="86"/>
      <c r="AG112" s="94"/>
    </row>
    <row r="113" spans="24:33" x14ac:dyDescent="0.25">
      <c r="X113" s="86"/>
      <c r="AG113" s="94"/>
    </row>
    <row r="114" spans="24:33" x14ac:dyDescent="0.25">
      <c r="X114" s="86"/>
      <c r="AG114" s="94"/>
    </row>
    <row r="115" spans="24:33" x14ac:dyDescent="0.25">
      <c r="X115" s="86"/>
      <c r="AG115" s="94"/>
    </row>
    <row r="116" spans="24:33" x14ac:dyDescent="0.25">
      <c r="X116" s="86"/>
      <c r="AG116" s="94"/>
    </row>
    <row r="117" spans="24:33" x14ac:dyDescent="0.25">
      <c r="X117" s="86"/>
      <c r="AG117" s="94"/>
    </row>
    <row r="118" spans="24:33" x14ac:dyDescent="0.25">
      <c r="X118" s="86"/>
      <c r="AG118" s="94"/>
    </row>
    <row r="119" spans="24:33" x14ac:dyDescent="0.25">
      <c r="X119" s="86"/>
      <c r="AG119" s="94"/>
    </row>
    <row r="120" spans="24:33" x14ac:dyDescent="0.25">
      <c r="X120" s="86"/>
      <c r="AG120" s="94"/>
    </row>
    <row r="121" spans="24:33" x14ac:dyDescent="0.25">
      <c r="X121" s="86"/>
      <c r="AG121" s="94"/>
    </row>
    <row r="122" spans="24:33" x14ac:dyDescent="0.25">
      <c r="X122" s="86"/>
      <c r="AG122" s="94"/>
    </row>
    <row r="123" spans="24:33" x14ac:dyDescent="0.25">
      <c r="X123" s="86"/>
      <c r="AG123" s="94"/>
    </row>
    <row r="124" spans="24:33" x14ac:dyDescent="0.25">
      <c r="X124" s="86"/>
      <c r="AG124" s="94"/>
    </row>
    <row r="125" spans="24:33" x14ac:dyDescent="0.25">
      <c r="X125" s="86"/>
      <c r="AG125" s="94"/>
    </row>
    <row r="126" spans="24:33" x14ac:dyDescent="0.25">
      <c r="X126" s="86"/>
      <c r="AG126" s="94"/>
    </row>
    <row r="127" spans="24:33" x14ac:dyDescent="0.25">
      <c r="X127" s="86"/>
      <c r="AG127" s="94"/>
    </row>
    <row r="128" spans="24:33" x14ac:dyDescent="0.25">
      <c r="X128" s="86"/>
      <c r="AG128" s="94"/>
    </row>
    <row r="129" spans="24:33" x14ac:dyDescent="0.25">
      <c r="X129" s="86"/>
      <c r="AG129" s="94"/>
    </row>
    <row r="130" spans="24:33" x14ac:dyDescent="0.25">
      <c r="X130" s="86"/>
      <c r="AG130" s="94"/>
    </row>
    <row r="131" spans="24:33" x14ac:dyDescent="0.25">
      <c r="X131" s="86"/>
      <c r="AG131" s="94"/>
    </row>
    <row r="132" spans="24:33" x14ac:dyDescent="0.25">
      <c r="X132" s="86"/>
      <c r="AG132" s="94"/>
    </row>
    <row r="133" spans="24:33" x14ac:dyDescent="0.25">
      <c r="X133" s="86"/>
      <c r="AG133" s="94"/>
    </row>
    <row r="134" spans="24:33" x14ac:dyDescent="0.25">
      <c r="X134" s="86"/>
      <c r="AG134" s="94"/>
    </row>
    <row r="135" spans="24:33" x14ac:dyDescent="0.25">
      <c r="X135" s="86"/>
      <c r="AG135" s="94"/>
    </row>
    <row r="136" spans="24:33" x14ac:dyDescent="0.25">
      <c r="X136" s="86"/>
      <c r="AG136" s="94"/>
    </row>
    <row r="137" spans="24:33" x14ac:dyDescent="0.25">
      <c r="X137" s="86"/>
      <c r="AG137" s="94"/>
    </row>
    <row r="138" spans="24:33" x14ac:dyDescent="0.25">
      <c r="X138" s="86"/>
      <c r="AG138" s="94"/>
    </row>
    <row r="139" spans="24:33" x14ac:dyDescent="0.25">
      <c r="X139" s="86"/>
      <c r="AG139" s="94"/>
    </row>
    <row r="140" spans="24:33" x14ac:dyDescent="0.25">
      <c r="X140" s="86"/>
      <c r="AG140" s="94"/>
    </row>
    <row r="141" spans="24:33" x14ac:dyDescent="0.25">
      <c r="X141" s="86"/>
      <c r="AG141" s="94"/>
    </row>
    <row r="142" spans="24:33" x14ac:dyDescent="0.25">
      <c r="X142" s="86"/>
      <c r="AG142" s="94"/>
    </row>
    <row r="143" spans="24:33" x14ac:dyDescent="0.25">
      <c r="X143" s="86"/>
      <c r="AG143" s="94"/>
    </row>
    <row r="144" spans="24:33" x14ac:dyDescent="0.25">
      <c r="X144" s="86"/>
      <c r="AG144" s="94"/>
    </row>
    <row r="145" spans="24:33" x14ac:dyDescent="0.25">
      <c r="X145" s="86"/>
      <c r="AG145" s="94"/>
    </row>
    <row r="146" spans="24:33" x14ac:dyDescent="0.25">
      <c r="X146" s="86"/>
      <c r="AG146" s="94"/>
    </row>
    <row r="147" spans="24:33" x14ac:dyDescent="0.25">
      <c r="X147" s="86"/>
      <c r="AG147" s="94"/>
    </row>
    <row r="148" spans="24:33" x14ac:dyDescent="0.25">
      <c r="X148" s="86"/>
      <c r="AG148" s="94"/>
    </row>
    <row r="149" spans="24:33" x14ac:dyDescent="0.25">
      <c r="X149" s="86"/>
      <c r="AG149" s="94"/>
    </row>
    <row r="150" spans="24:33" x14ac:dyDescent="0.25">
      <c r="X150" s="86"/>
      <c r="AG150" s="94"/>
    </row>
    <row r="151" spans="24:33" x14ac:dyDescent="0.25">
      <c r="X151" s="86"/>
      <c r="AG151" s="94"/>
    </row>
    <row r="152" spans="24:33" x14ac:dyDescent="0.25">
      <c r="X152" s="86"/>
      <c r="AG152" s="94"/>
    </row>
    <row r="153" spans="24:33" x14ac:dyDescent="0.25">
      <c r="X153" s="86"/>
      <c r="AG153" s="94"/>
    </row>
    <row r="154" spans="24:33" x14ac:dyDescent="0.25">
      <c r="X154" s="86"/>
      <c r="AG154" s="94"/>
    </row>
    <row r="155" spans="24:33" x14ac:dyDescent="0.25">
      <c r="X155" s="86"/>
      <c r="AG155" s="94"/>
    </row>
    <row r="156" spans="24:33" x14ac:dyDescent="0.25">
      <c r="X156" s="86"/>
      <c r="AG156" s="94"/>
    </row>
    <row r="157" spans="24:33" x14ac:dyDescent="0.25">
      <c r="X157" s="86"/>
      <c r="AG157" s="94"/>
    </row>
    <row r="158" spans="24:33" x14ac:dyDescent="0.25">
      <c r="X158" s="86"/>
      <c r="AG158" s="94"/>
    </row>
    <row r="159" spans="24:33" x14ac:dyDescent="0.25">
      <c r="X159" s="86"/>
      <c r="AG159" s="94"/>
    </row>
    <row r="160" spans="24:33" x14ac:dyDescent="0.25">
      <c r="X160" s="86"/>
      <c r="AG160" s="94"/>
    </row>
    <row r="161" spans="24:33" x14ac:dyDescent="0.25">
      <c r="X161" s="86"/>
      <c r="AG161" s="94"/>
    </row>
    <row r="162" spans="24:33" x14ac:dyDescent="0.25">
      <c r="X162" s="86"/>
      <c r="AG162" s="94"/>
    </row>
    <row r="163" spans="24:33" x14ac:dyDescent="0.25">
      <c r="X163" s="86"/>
      <c r="AG163" s="94"/>
    </row>
    <row r="164" spans="24:33" x14ac:dyDescent="0.25">
      <c r="X164" s="86"/>
      <c r="AG164" s="94"/>
    </row>
    <row r="165" spans="24:33" x14ac:dyDescent="0.25">
      <c r="X165" s="86"/>
      <c r="AG165" s="94"/>
    </row>
    <row r="166" spans="24:33" x14ac:dyDescent="0.25">
      <c r="X166" s="86"/>
      <c r="AG166" s="94"/>
    </row>
    <row r="167" spans="24:33" x14ac:dyDescent="0.25">
      <c r="X167" s="86"/>
      <c r="AG167" s="94"/>
    </row>
    <row r="168" spans="24:33" x14ac:dyDescent="0.25">
      <c r="X168" s="86"/>
      <c r="AG168" s="94"/>
    </row>
    <row r="169" spans="24:33" x14ac:dyDescent="0.25">
      <c r="X169" s="86"/>
      <c r="AG169" s="94"/>
    </row>
    <row r="170" spans="24:33" x14ac:dyDescent="0.25">
      <c r="X170" s="86"/>
      <c r="AG170" s="94"/>
    </row>
    <row r="171" spans="24:33" x14ac:dyDescent="0.25">
      <c r="X171" s="86"/>
      <c r="AG171" s="94"/>
    </row>
    <row r="172" spans="24:33" x14ac:dyDescent="0.25">
      <c r="X172" s="86"/>
      <c r="AG172" s="94"/>
    </row>
    <row r="173" spans="24:33" x14ac:dyDescent="0.25">
      <c r="X173" s="86"/>
      <c r="AG173" s="94"/>
    </row>
    <row r="174" spans="24:33" x14ac:dyDescent="0.25">
      <c r="X174" s="86"/>
      <c r="AG174" s="94"/>
    </row>
    <row r="175" spans="24:33" x14ac:dyDescent="0.25">
      <c r="X175" s="86"/>
      <c r="AG175" s="94"/>
    </row>
    <row r="176" spans="24:33" x14ac:dyDescent="0.25">
      <c r="X176" s="86"/>
      <c r="AG176" s="94"/>
    </row>
    <row r="177" spans="24:33" x14ac:dyDescent="0.25">
      <c r="X177" s="86"/>
      <c r="AG177" s="94"/>
    </row>
    <row r="178" spans="24:33" x14ac:dyDescent="0.25">
      <c r="X178" s="86"/>
      <c r="AG178" s="94"/>
    </row>
    <row r="179" spans="24:33" x14ac:dyDescent="0.25">
      <c r="X179" s="86"/>
      <c r="AG179" s="94"/>
    </row>
    <row r="180" spans="24:33" x14ac:dyDescent="0.25">
      <c r="X180" s="86"/>
      <c r="AG180" s="94"/>
    </row>
    <row r="181" spans="24:33" x14ac:dyDescent="0.25">
      <c r="X181" s="86"/>
      <c r="AG181" s="94"/>
    </row>
    <row r="182" spans="24:33" x14ac:dyDescent="0.25">
      <c r="X182" s="86"/>
      <c r="AG182" s="94"/>
    </row>
    <row r="183" spans="24:33" x14ac:dyDescent="0.25">
      <c r="X183" s="86"/>
      <c r="AG183" s="94"/>
    </row>
    <row r="184" spans="24:33" x14ac:dyDescent="0.25">
      <c r="X184" s="86"/>
      <c r="AG184" s="94"/>
    </row>
    <row r="185" spans="24:33" x14ac:dyDescent="0.25">
      <c r="X185" s="86"/>
      <c r="AG185" s="94"/>
    </row>
    <row r="186" spans="24:33" x14ac:dyDescent="0.25">
      <c r="X186" s="86"/>
      <c r="AG186" s="94"/>
    </row>
    <row r="187" spans="24:33" x14ac:dyDescent="0.25">
      <c r="X187" s="86"/>
      <c r="AG187" s="94"/>
    </row>
    <row r="188" spans="24:33" x14ac:dyDescent="0.25">
      <c r="X188" s="86"/>
      <c r="AG188" s="94"/>
    </row>
    <row r="189" spans="24:33" x14ac:dyDescent="0.25">
      <c r="X189" s="86"/>
      <c r="AG189" s="94"/>
    </row>
    <row r="190" spans="24:33" x14ac:dyDescent="0.25">
      <c r="X190" s="86"/>
      <c r="AG190" s="94"/>
    </row>
    <row r="191" spans="24:33" x14ac:dyDescent="0.25">
      <c r="X191" s="86"/>
      <c r="AG191" s="94"/>
    </row>
    <row r="192" spans="24:33" x14ac:dyDescent="0.25">
      <c r="X192" s="86"/>
      <c r="AG192" s="94"/>
    </row>
    <row r="193" spans="24:33" x14ac:dyDescent="0.25">
      <c r="X193" s="86"/>
      <c r="AG193" s="94"/>
    </row>
    <row r="194" spans="24:33" x14ac:dyDescent="0.25">
      <c r="X194" s="86"/>
      <c r="AG194" s="94"/>
    </row>
    <row r="195" spans="24:33" x14ac:dyDescent="0.25">
      <c r="X195" s="86"/>
      <c r="AG195" s="94"/>
    </row>
    <row r="196" spans="24:33" x14ac:dyDescent="0.25">
      <c r="X196" s="86"/>
      <c r="AG196" s="94"/>
    </row>
    <row r="197" spans="24:33" x14ac:dyDescent="0.25">
      <c r="X197" s="86"/>
      <c r="AG197" s="94"/>
    </row>
    <row r="198" spans="24:33" x14ac:dyDescent="0.25">
      <c r="X198" s="86"/>
      <c r="AG198" s="94"/>
    </row>
    <row r="199" spans="24:33" x14ac:dyDescent="0.25">
      <c r="X199" s="86"/>
      <c r="AG199" s="94"/>
    </row>
    <row r="200" spans="24:33" x14ac:dyDescent="0.25">
      <c r="X200" s="86"/>
      <c r="AG200" s="94"/>
    </row>
    <row r="201" spans="24:33" x14ac:dyDescent="0.25">
      <c r="X201" s="86"/>
      <c r="AG201" s="94"/>
    </row>
    <row r="202" spans="24:33" x14ac:dyDescent="0.25">
      <c r="X202" s="86"/>
      <c r="AG202" s="94"/>
    </row>
    <row r="203" spans="24:33" x14ac:dyDescent="0.25">
      <c r="X203" s="86"/>
      <c r="AG203" s="94"/>
    </row>
    <row r="204" spans="24:33" x14ac:dyDescent="0.25">
      <c r="X204" s="86"/>
      <c r="AG204" s="94"/>
    </row>
    <row r="205" spans="24:33" x14ac:dyDescent="0.25">
      <c r="X205" s="86"/>
      <c r="AG205" s="94"/>
    </row>
    <row r="206" spans="24:33" x14ac:dyDescent="0.25">
      <c r="X206" s="86"/>
      <c r="AG206" s="94"/>
    </row>
    <row r="207" spans="24:33" x14ac:dyDescent="0.25">
      <c r="X207" s="86"/>
      <c r="AG207" s="94"/>
    </row>
    <row r="208" spans="24:33" x14ac:dyDescent="0.25">
      <c r="X208" s="86"/>
      <c r="AG208" s="94"/>
    </row>
    <row r="209" spans="24:33" x14ac:dyDescent="0.25">
      <c r="X209" s="86"/>
      <c r="AG209" s="94"/>
    </row>
    <row r="210" spans="24:33" x14ac:dyDescent="0.25">
      <c r="X210" s="86"/>
      <c r="AG210" s="94"/>
    </row>
    <row r="211" spans="24:33" x14ac:dyDescent="0.25">
      <c r="X211" s="86"/>
      <c r="AG211" s="94"/>
    </row>
    <row r="212" spans="24:33" x14ac:dyDescent="0.25">
      <c r="X212" s="86"/>
      <c r="AG212" s="94"/>
    </row>
    <row r="213" spans="24:33" x14ac:dyDescent="0.25">
      <c r="X213" s="86"/>
      <c r="AG213" s="94"/>
    </row>
    <row r="214" spans="24:33" x14ac:dyDescent="0.25">
      <c r="X214" s="86"/>
      <c r="AG214" s="94"/>
    </row>
    <row r="215" spans="24:33" x14ac:dyDescent="0.25">
      <c r="X215" s="86"/>
      <c r="AG215" s="94"/>
    </row>
    <row r="216" spans="24:33" x14ac:dyDescent="0.25">
      <c r="X216" s="86"/>
      <c r="AG216" s="94"/>
    </row>
    <row r="217" spans="24:33" x14ac:dyDescent="0.25">
      <c r="X217" s="86"/>
      <c r="AG217" s="94"/>
    </row>
    <row r="218" spans="24:33" x14ac:dyDescent="0.25">
      <c r="X218" s="86"/>
      <c r="AG218" s="94"/>
    </row>
    <row r="219" spans="24:33" x14ac:dyDescent="0.25">
      <c r="X219" s="86"/>
      <c r="AG219" s="94"/>
    </row>
    <row r="220" spans="24:33" x14ac:dyDescent="0.25">
      <c r="X220" s="86"/>
      <c r="AG220" s="94"/>
    </row>
    <row r="221" spans="24:33" x14ac:dyDescent="0.25">
      <c r="X221" s="86"/>
      <c r="AG221" s="94"/>
    </row>
    <row r="222" spans="24:33" x14ac:dyDescent="0.25">
      <c r="X222" s="86"/>
      <c r="AG222" s="94"/>
    </row>
    <row r="223" spans="24:33" x14ac:dyDescent="0.25">
      <c r="X223" s="86"/>
      <c r="AG223" s="94"/>
    </row>
    <row r="224" spans="24:33" x14ac:dyDescent="0.25">
      <c r="X224" s="86"/>
      <c r="AG224" s="94"/>
    </row>
    <row r="225" spans="24:33" x14ac:dyDescent="0.25">
      <c r="X225" s="86"/>
      <c r="AG225" s="94"/>
    </row>
    <row r="226" spans="24:33" x14ac:dyDescent="0.25">
      <c r="X226" s="86"/>
      <c r="AG226" s="94"/>
    </row>
    <row r="227" spans="24:33" x14ac:dyDescent="0.25">
      <c r="X227" s="86"/>
      <c r="AG227" s="94"/>
    </row>
    <row r="228" spans="24:33" x14ac:dyDescent="0.25">
      <c r="X228" s="86"/>
      <c r="AG228" s="94"/>
    </row>
    <row r="229" spans="24:33" x14ac:dyDescent="0.25">
      <c r="X229" s="86"/>
      <c r="AG229" s="94"/>
    </row>
    <row r="230" spans="24:33" x14ac:dyDescent="0.25">
      <c r="X230" s="86"/>
      <c r="AG230" s="94"/>
    </row>
    <row r="231" spans="24:33" x14ac:dyDescent="0.25">
      <c r="X231" s="86"/>
      <c r="AG231" s="94"/>
    </row>
    <row r="232" spans="24:33" x14ac:dyDescent="0.25">
      <c r="X232" s="86"/>
      <c r="AG232" s="94"/>
    </row>
    <row r="233" spans="24:33" x14ac:dyDescent="0.25">
      <c r="X233" s="86"/>
      <c r="AG233" s="94"/>
    </row>
    <row r="234" spans="24:33" x14ac:dyDescent="0.25">
      <c r="X234" s="86"/>
      <c r="AG234" s="94"/>
    </row>
    <row r="235" spans="24:33" x14ac:dyDescent="0.25">
      <c r="X235" s="86"/>
      <c r="AG235" s="94"/>
    </row>
    <row r="236" spans="24:33" x14ac:dyDescent="0.25">
      <c r="X236" s="86"/>
      <c r="AG236" s="94"/>
    </row>
    <row r="237" spans="24:33" x14ac:dyDescent="0.25">
      <c r="X237" s="86"/>
      <c r="AG237" s="94"/>
    </row>
    <row r="238" spans="24:33" x14ac:dyDescent="0.25">
      <c r="X238" s="86"/>
      <c r="AG238" s="94"/>
    </row>
    <row r="239" spans="24:33" x14ac:dyDescent="0.25">
      <c r="X239" s="86"/>
      <c r="AG239" s="94"/>
    </row>
    <row r="240" spans="24:33" x14ac:dyDescent="0.25">
      <c r="X240" s="86"/>
      <c r="AG240" s="94"/>
    </row>
    <row r="241" spans="24:33" x14ac:dyDescent="0.25">
      <c r="X241" s="86"/>
      <c r="AG241" s="94"/>
    </row>
    <row r="242" spans="24:33" x14ac:dyDescent="0.25">
      <c r="X242" s="86"/>
      <c r="AG242" s="94"/>
    </row>
    <row r="243" spans="24:33" x14ac:dyDescent="0.25">
      <c r="X243" s="86"/>
      <c r="AG243" s="94"/>
    </row>
    <row r="244" spans="24:33" x14ac:dyDescent="0.25">
      <c r="X244" s="86"/>
      <c r="AG244" s="94"/>
    </row>
    <row r="245" spans="24:33" x14ac:dyDescent="0.25">
      <c r="X245" s="86"/>
      <c r="AG245" s="94"/>
    </row>
    <row r="246" spans="24:33" x14ac:dyDescent="0.25">
      <c r="X246" s="86"/>
      <c r="AG246" s="94"/>
    </row>
    <row r="247" spans="24:33" x14ac:dyDescent="0.25">
      <c r="X247" s="86"/>
      <c r="AG247" s="94"/>
    </row>
    <row r="248" spans="24:33" x14ac:dyDescent="0.25">
      <c r="X248" s="86"/>
      <c r="AG248" s="94"/>
    </row>
    <row r="249" spans="24:33" x14ac:dyDescent="0.25">
      <c r="X249" s="86"/>
      <c r="AG249" s="94"/>
    </row>
    <row r="250" spans="24:33" x14ac:dyDescent="0.25">
      <c r="X250" s="86"/>
      <c r="AG250" s="94"/>
    </row>
    <row r="251" spans="24:33" x14ac:dyDescent="0.25">
      <c r="X251" s="86"/>
      <c r="AG251" s="94"/>
    </row>
    <row r="252" spans="24:33" x14ac:dyDescent="0.25">
      <c r="X252" s="86"/>
      <c r="AG252" s="94"/>
    </row>
    <row r="253" spans="24:33" x14ac:dyDescent="0.25">
      <c r="X253" s="86"/>
      <c r="AG253" s="94"/>
    </row>
    <row r="254" spans="24:33" x14ac:dyDescent="0.25">
      <c r="X254" s="86"/>
      <c r="AG254" s="94"/>
    </row>
    <row r="255" spans="24:33" x14ac:dyDescent="0.25">
      <c r="X255" s="86"/>
      <c r="AG255" s="94"/>
    </row>
    <row r="256" spans="24:33" x14ac:dyDescent="0.25">
      <c r="X256" s="86"/>
      <c r="AG256" s="94"/>
    </row>
    <row r="257" spans="24:33" x14ac:dyDescent="0.25">
      <c r="X257" s="86"/>
      <c r="AG257" s="94"/>
    </row>
    <row r="258" spans="24:33" x14ac:dyDescent="0.25">
      <c r="X258" s="86"/>
      <c r="AG258" s="94"/>
    </row>
    <row r="259" spans="24:33" x14ac:dyDescent="0.25">
      <c r="X259" s="86"/>
      <c r="AG259" s="94"/>
    </row>
    <row r="260" spans="24:33" x14ac:dyDescent="0.25">
      <c r="X260" s="86"/>
      <c r="AG260" s="94"/>
    </row>
    <row r="261" spans="24:33" x14ac:dyDescent="0.25">
      <c r="X261" s="86"/>
      <c r="AG261" s="94"/>
    </row>
    <row r="262" spans="24:33" x14ac:dyDescent="0.25">
      <c r="X262" s="86"/>
      <c r="AG262" s="94"/>
    </row>
    <row r="263" spans="24:33" x14ac:dyDescent="0.25">
      <c r="X263" s="86"/>
      <c r="AG263" s="94"/>
    </row>
    <row r="264" spans="24:33" x14ac:dyDescent="0.25">
      <c r="X264" s="86"/>
      <c r="AG264" s="94"/>
    </row>
    <row r="265" spans="24:33" x14ac:dyDescent="0.25">
      <c r="X265" s="86"/>
      <c r="AG265" s="94"/>
    </row>
    <row r="266" spans="24:33" x14ac:dyDescent="0.25">
      <c r="X266" s="86"/>
      <c r="AG266" s="94"/>
    </row>
    <row r="267" spans="24:33" x14ac:dyDescent="0.25">
      <c r="X267" s="86"/>
      <c r="AG267" s="94"/>
    </row>
    <row r="268" spans="24:33" x14ac:dyDescent="0.25">
      <c r="X268" s="86"/>
      <c r="AG268" s="94"/>
    </row>
    <row r="269" spans="24:33" x14ac:dyDescent="0.25">
      <c r="X269" s="86"/>
      <c r="AG269" s="94"/>
    </row>
    <row r="270" spans="24:33" x14ac:dyDescent="0.25">
      <c r="X270" s="86"/>
      <c r="AG270" s="94"/>
    </row>
    <row r="271" spans="24:33" x14ac:dyDescent="0.25">
      <c r="X271" s="86"/>
      <c r="AG271" s="94"/>
    </row>
    <row r="272" spans="24:33" x14ac:dyDescent="0.25">
      <c r="X272" s="86"/>
      <c r="AG272" s="94"/>
    </row>
    <row r="273" spans="24:33" x14ac:dyDescent="0.25">
      <c r="X273" s="86"/>
      <c r="AG273" s="94"/>
    </row>
    <row r="274" spans="24:33" x14ac:dyDescent="0.25">
      <c r="X274" s="86"/>
      <c r="AG274" s="94"/>
    </row>
    <row r="275" spans="24:33" x14ac:dyDescent="0.25">
      <c r="X275" s="86"/>
      <c r="AG275" s="94"/>
    </row>
    <row r="276" spans="24:33" x14ac:dyDescent="0.25">
      <c r="X276" s="86"/>
      <c r="AG276" s="94"/>
    </row>
    <row r="277" spans="24:33" x14ac:dyDescent="0.25">
      <c r="X277" s="86"/>
      <c r="AG277" s="94"/>
    </row>
    <row r="278" spans="24:33" x14ac:dyDescent="0.25">
      <c r="X278" s="86"/>
      <c r="AG278" s="94"/>
    </row>
    <row r="279" spans="24:33" x14ac:dyDescent="0.25">
      <c r="X279" s="86"/>
      <c r="AG279" s="94"/>
    </row>
    <row r="280" spans="24:33" x14ac:dyDescent="0.25">
      <c r="X280" s="86"/>
      <c r="AG280" s="94"/>
    </row>
    <row r="281" spans="24:33" x14ac:dyDescent="0.25">
      <c r="X281" s="86"/>
      <c r="AG281" s="94"/>
    </row>
    <row r="282" spans="24:33" x14ac:dyDescent="0.25">
      <c r="X282" s="86"/>
      <c r="AG282" s="94"/>
    </row>
    <row r="283" spans="24:33" x14ac:dyDescent="0.25">
      <c r="X283" s="86"/>
      <c r="AG283" s="94"/>
    </row>
    <row r="284" spans="24:33" x14ac:dyDescent="0.25">
      <c r="X284" s="86"/>
      <c r="AG284" s="94"/>
    </row>
    <row r="285" spans="24:33" x14ac:dyDescent="0.25">
      <c r="X285" s="86"/>
      <c r="AG285" s="94"/>
    </row>
    <row r="286" spans="24:33" x14ac:dyDescent="0.25">
      <c r="X286" s="86"/>
      <c r="AG286" s="94"/>
    </row>
    <row r="287" spans="24:33" x14ac:dyDescent="0.25">
      <c r="X287" s="86"/>
      <c r="AG287" s="94"/>
    </row>
    <row r="288" spans="24:33" x14ac:dyDescent="0.25">
      <c r="X288" s="86"/>
      <c r="AG288" s="94"/>
    </row>
    <row r="289" spans="24:33" x14ac:dyDescent="0.25">
      <c r="X289" s="86"/>
      <c r="AG289" s="94"/>
    </row>
    <row r="290" spans="24:33" x14ac:dyDescent="0.25">
      <c r="X290" s="86"/>
      <c r="AG290" s="94"/>
    </row>
    <row r="291" spans="24:33" x14ac:dyDescent="0.25">
      <c r="X291" s="86"/>
      <c r="AG291" s="94"/>
    </row>
    <row r="292" spans="24:33" x14ac:dyDescent="0.25">
      <c r="X292" s="86"/>
      <c r="AG292" s="94"/>
    </row>
    <row r="293" spans="24:33" x14ac:dyDescent="0.25">
      <c r="X293" s="86"/>
      <c r="AG293" s="94"/>
    </row>
    <row r="294" spans="24:33" x14ac:dyDescent="0.25">
      <c r="X294" s="86"/>
      <c r="AG294" s="94"/>
    </row>
    <row r="295" spans="24:33" x14ac:dyDescent="0.25">
      <c r="X295" s="86"/>
      <c r="AG295" s="94"/>
    </row>
    <row r="296" spans="24:33" x14ac:dyDescent="0.25">
      <c r="X296" s="86"/>
      <c r="AG296" s="94"/>
    </row>
    <row r="297" spans="24:33" x14ac:dyDescent="0.25">
      <c r="X297" s="86"/>
      <c r="AG297" s="94"/>
    </row>
    <row r="298" spans="24:33" x14ac:dyDescent="0.25">
      <c r="X298" s="86"/>
      <c r="AG298" s="94"/>
    </row>
    <row r="299" spans="24:33" x14ac:dyDescent="0.25">
      <c r="X299" s="86"/>
      <c r="AG299" s="94"/>
    </row>
    <row r="300" spans="24:33" x14ac:dyDescent="0.25">
      <c r="X300" s="86"/>
      <c r="AG300" s="94"/>
    </row>
    <row r="301" spans="24:33" x14ac:dyDescent="0.25">
      <c r="X301" s="86"/>
      <c r="AG301" s="94"/>
    </row>
    <row r="302" spans="24:33" x14ac:dyDescent="0.25">
      <c r="X302" s="86"/>
      <c r="AG302" s="94"/>
    </row>
    <row r="303" spans="24:33" x14ac:dyDescent="0.25">
      <c r="X303" s="86"/>
      <c r="AG303" s="94"/>
    </row>
    <row r="304" spans="24:33" x14ac:dyDescent="0.25">
      <c r="X304" s="86"/>
      <c r="AG304" s="94"/>
    </row>
    <row r="305" spans="24:33" x14ac:dyDescent="0.25">
      <c r="X305" s="86"/>
      <c r="AG305" s="94"/>
    </row>
    <row r="306" spans="24:33" x14ac:dyDescent="0.25">
      <c r="X306" s="86"/>
      <c r="AG306" s="94"/>
    </row>
    <row r="307" spans="24:33" x14ac:dyDescent="0.25">
      <c r="X307" s="86"/>
      <c r="AG307" s="94"/>
    </row>
    <row r="308" spans="24:33" x14ac:dyDescent="0.25">
      <c r="X308" s="86"/>
      <c r="AG308" s="94"/>
    </row>
    <row r="309" spans="24:33" x14ac:dyDescent="0.25">
      <c r="X309" s="86"/>
      <c r="AG309" s="94"/>
    </row>
    <row r="310" spans="24:33" x14ac:dyDescent="0.25">
      <c r="X310" s="86"/>
      <c r="AG310" s="94"/>
    </row>
    <row r="311" spans="24:33" x14ac:dyDescent="0.25">
      <c r="X311" s="86"/>
      <c r="AG311" s="94"/>
    </row>
    <row r="312" spans="24:33" x14ac:dyDescent="0.25">
      <c r="X312" s="86"/>
      <c r="AG312" s="94"/>
    </row>
    <row r="313" spans="24:33" x14ac:dyDescent="0.25">
      <c r="X313" s="86"/>
      <c r="AG313" s="94"/>
    </row>
    <row r="314" spans="24:33" x14ac:dyDescent="0.25">
      <c r="X314" s="86"/>
      <c r="AG314" s="94"/>
    </row>
    <row r="315" spans="24:33" x14ac:dyDescent="0.25">
      <c r="X315" s="86"/>
      <c r="AG315" s="94"/>
    </row>
    <row r="316" spans="24:33" x14ac:dyDescent="0.25">
      <c r="X316" s="86"/>
      <c r="AG316" s="94"/>
    </row>
    <row r="317" spans="24:33" x14ac:dyDescent="0.25">
      <c r="X317" s="86"/>
      <c r="AG317" s="94"/>
    </row>
    <row r="318" spans="24:33" x14ac:dyDescent="0.25">
      <c r="X318" s="86"/>
      <c r="AG318" s="94"/>
    </row>
    <row r="319" spans="24:33" x14ac:dyDescent="0.25">
      <c r="X319" s="86"/>
      <c r="AG319" s="94"/>
    </row>
    <row r="320" spans="24:33" x14ac:dyDescent="0.25">
      <c r="X320" s="86"/>
      <c r="AG320" s="94"/>
    </row>
    <row r="321" spans="24:33" x14ac:dyDescent="0.25">
      <c r="X321" s="86"/>
      <c r="AG321" s="94"/>
    </row>
    <row r="322" spans="24:33" x14ac:dyDescent="0.25">
      <c r="X322" s="86"/>
      <c r="AG322" s="94"/>
    </row>
    <row r="323" spans="24:33" x14ac:dyDescent="0.25">
      <c r="X323" s="86"/>
      <c r="AG323" s="94"/>
    </row>
    <row r="324" spans="24:33" x14ac:dyDescent="0.25">
      <c r="X324" s="86"/>
      <c r="AG324" s="94"/>
    </row>
    <row r="325" spans="24:33" x14ac:dyDescent="0.25">
      <c r="X325" s="86"/>
      <c r="AG325" s="94"/>
    </row>
    <row r="326" spans="24:33" x14ac:dyDescent="0.25">
      <c r="X326" s="86"/>
      <c r="AG326" s="94"/>
    </row>
    <row r="327" spans="24:33" x14ac:dyDescent="0.25">
      <c r="X327" s="86"/>
      <c r="AG327" s="94"/>
    </row>
    <row r="328" spans="24:33" x14ac:dyDescent="0.25">
      <c r="X328" s="86"/>
      <c r="AG328" s="94"/>
    </row>
    <row r="329" spans="24:33" x14ac:dyDescent="0.25">
      <c r="X329" s="86"/>
      <c r="AG329" s="94"/>
    </row>
    <row r="330" spans="24:33" x14ac:dyDescent="0.25">
      <c r="X330" s="86"/>
      <c r="AG330" s="94"/>
    </row>
    <row r="331" spans="24:33" x14ac:dyDescent="0.25">
      <c r="X331" s="86"/>
      <c r="AG331" s="94"/>
    </row>
    <row r="332" spans="24:33" x14ac:dyDescent="0.25">
      <c r="X332" s="86"/>
      <c r="AG332" s="94"/>
    </row>
    <row r="333" spans="24:33" x14ac:dyDescent="0.25">
      <c r="X333" s="86"/>
      <c r="AG333" s="94"/>
    </row>
    <row r="334" spans="24:33" x14ac:dyDescent="0.25">
      <c r="X334" s="86"/>
      <c r="AG334" s="94"/>
    </row>
    <row r="335" spans="24:33" x14ac:dyDescent="0.25">
      <c r="X335" s="86"/>
      <c r="AG335" s="94"/>
    </row>
    <row r="336" spans="24:33" x14ac:dyDescent="0.25">
      <c r="X336" s="86"/>
      <c r="AG336" s="94"/>
    </row>
    <row r="337" spans="24:33" x14ac:dyDescent="0.25">
      <c r="X337" s="86"/>
      <c r="AG337" s="94"/>
    </row>
    <row r="338" spans="24:33" x14ac:dyDescent="0.25">
      <c r="X338" s="86"/>
      <c r="AG338" s="94"/>
    </row>
    <row r="339" spans="24:33" x14ac:dyDescent="0.25">
      <c r="X339" s="86"/>
      <c r="AG339" s="94"/>
    </row>
    <row r="340" spans="24:33" x14ac:dyDescent="0.25">
      <c r="X340" s="86"/>
      <c r="AG340" s="94"/>
    </row>
    <row r="341" spans="24:33" x14ac:dyDescent="0.25">
      <c r="X341" s="86"/>
      <c r="AG341" s="94"/>
    </row>
    <row r="342" spans="24:33" x14ac:dyDescent="0.25">
      <c r="X342" s="86"/>
      <c r="AG342" s="94"/>
    </row>
    <row r="343" spans="24:33" x14ac:dyDescent="0.25">
      <c r="X343" s="86"/>
      <c r="AG343" s="94"/>
    </row>
    <row r="344" spans="24:33" x14ac:dyDescent="0.25">
      <c r="X344" s="86"/>
      <c r="AG344" s="94"/>
    </row>
    <row r="345" spans="24:33" x14ac:dyDescent="0.25">
      <c r="X345" s="86"/>
      <c r="AG345" s="94"/>
    </row>
    <row r="346" spans="24:33" x14ac:dyDescent="0.25">
      <c r="X346" s="86"/>
      <c r="AG346" s="94"/>
    </row>
    <row r="347" spans="24:33" x14ac:dyDescent="0.25">
      <c r="X347" s="86"/>
      <c r="AG347" s="94"/>
    </row>
    <row r="348" spans="24:33" x14ac:dyDescent="0.25">
      <c r="X348" s="86"/>
      <c r="AG348" s="94"/>
    </row>
    <row r="349" spans="24:33" x14ac:dyDescent="0.25">
      <c r="X349" s="86"/>
      <c r="AG349" s="94"/>
    </row>
    <row r="350" spans="24:33" x14ac:dyDescent="0.25">
      <c r="X350" s="86"/>
      <c r="AG350" s="94"/>
    </row>
    <row r="351" spans="24:33" x14ac:dyDescent="0.25">
      <c r="X351" s="86"/>
      <c r="AG351" s="94"/>
    </row>
    <row r="352" spans="24:33" x14ac:dyDescent="0.25">
      <c r="X352" s="86"/>
      <c r="AG352" s="94"/>
    </row>
    <row r="353" spans="24:33" x14ac:dyDescent="0.25">
      <c r="X353" s="86"/>
      <c r="AG353" s="94"/>
    </row>
    <row r="354" spans="24:33" x14ac:dyDescent="0.25">
      <c r="X354" s="86"/>
      <c r="AG354" s="94"/>
    </row>
    <row r="355" spans="24:33" x14ac:dyDescent="0.25">
      <c r="X355" s="86"/>
      <c r="AG355" s="94"/>
    </row>
    <row r="356" spans="24:33" x14ac:dyDescent="0.25">
      <c r="X356" s="86"/>
      <c r="AG356" s="94"/>
    </row>
    <row r="357" spans="24:33" x14ac:dyDescent="0.25">
      <c r="X357" s="86"/>
      <c r="AG357" s="94"/>
    </row>
    <row r="358" spans="24:33" x14ac:dyDescent="0.25">
      <c r="X358" s="86"/>
      <c r="AG358" s="94"/>
    </row>
    <row r="359" spans="24:33" x14ac:dyDescent="0.25">
      <c r="X359" s="86"/>
      <c r="AG359" s="94"/>
    </row>
    <row r="360" spans="24:33" x14ac:dyDescent="0.25">
      <c r="X360" s="86"/>
      <c r="AG360" s="94"/>
    </row>
    <row r="361" spans="24:33" x14ac:dyDescent="0.25">
      <c r="X361" s="86"/>
      <c r="AG361" s="94"/>
    </row>
    <row r="362" spans="24:33" x14ac:dyDescent="0.25">
      <c r="X362" s="86"/>
      <c r="AG362" s="94"/>
    </row>
    <row r="363" spans="24:33" x14ac:dyDescent="0.25">
      <c r="X363" s="86"/>
      <c r="AG363" s="94"/>
    </row>
    <row r="364" spans="24:33" x14ac:dyDescent="0.25">
      <c r="X364" s="86"/>
      <c r="AG364" s="94"/>
    </row>
    <row r="365" spans="24:33" x14ac:dyDescent="0.25">
      <c r="X365" s="86"/>
      <c r="AG365" s="94"/>
    </row>
    <row r="366" spans="24:33" x14ac:dyDescent="0.25">
      <c r="X366" s="86"/>
      <c r="AG366" s="94"/>
    </row>
    <row r="367" spans="24:33" x14ac:dyDescent="0.25">
      <c r="X367" s="86"/>
      <c r="AG367" s="94"/>
    </row>
    <row r="368" spans="24:33" x14ac:dyDescent="0.25">
      <c r="X368" s="86"/>
      <c r="AG368" s="94"/>
    </row>
    <row r="369" spans="24:33" x14ac:dyDescent="0.25">
      <c r="X369" s="86"/>
      <c r="AG369" s="94"/>
    </row>
    <row r="370" spans="24:33" x14ac:dyDescent="0.25">
      <c r="X370" s="86"/>
      <c r="AG370" s="94"/>
    </row>
    <row r="371" spans="24:33" x14ac:dyDescent="0.25">
      <c r="X371" s="86"/>
      <c r="AG371" s="94"/>
    </row>
    <row r="372" spans="24:33" x14ac:dyDescent="0.25">
      <c r="X372" s="86"/>
      <c r="AG372" s="94"/>
    </row>
    <row r="373" spans="24:33" x14ac:dyDescent="0.25">
      <c r="X373" s="86"/>
      <c r="AG373" s="94"/>
    </row>
    <row r="374" spans="24:33" x14ac:dyDescent="0.25">
      <c r="X374" s="86"/>
      <c r="AG374" s="94"/>
    </row>
    <row r="375" spans="24:33" x14ac:dyDescent="0.25">
      <c r="X375" s="86"/>
      <c r="AG375" s="94"/>
    </row>
    <row r="376" spans="24:33" x14ac:dyDescent="0.25">
      <c r="X376" s="86"/>
      <c r="AG376" s="94"/>
    </row>
    <row r="377" spans="24:33" x14ac:dyDescent="0.25">
      <c r="X377" s="86"/>
      <c r="AG377" s="94"/>
    </row>
    <row r="378" spans="24:33" x14ac:dyDescent="0.25">
      <c r="X378" s="86"/>
      <c r="AG378" s="94"/>
    </row>
    <row r="379" spans="24:33" x14ac:dyDescent="0.25">
      <c r="X379" s="86"/>
      <c r="AG379" s="94"/>
    </row>
    <row r="380" spans="24:33" x14ac:dyDescent="0.25">
      <c r="X380" s="86"/>
      <c r="AG380" s="94"/>
    </row>
    <row r="381" spans="24:33" x14ac:dyDescent="0.25">
      <c r="X381" s="86"/>
      <c r="AG381" s="94"/>
    </row>
    <row r="382" spans="24:33" x14ac:dyDescent="0.25">
      <c r="X382" s="86"/>
      <c r="AG382" s="94"/>
    </row>
    <row r="383" spans="24:33" x14ac:dyDescent="0.25">
      <c r="X383" s="86"/>
      <c r="AG383" s="94"/>
    </row>
    <row r="384" spans="24:33" x14ac:dyDescent="0.25">
      <c r="X384" s="86"/>
      <c r="AG384" s="94"/>
    </row>
    <row r="385" spans="24:33" x14ac:dyDescent="0.25">
      <c r="X385" s="86"/>
      <c r="AG385" s="94"/>
    </row>
    <row r="386" spans="24:33" x14ac:dyDescent="0.25">
      <c r="X386" s="86"/>
      <c r="AG386" s="94"/>
    </row>
    <row r="387" spans="24:33" x14ac:dyDescent="0.25">
      <c r="X387" s="86"/>
      <c r="AG387" s="94"/>
    </row>
    <row r="388" spans="24:33" x14ac:dyDescent="0.25">
      <c r="X388" s="86"/>
      <c r="AG388" s="94"/>
    </row>
    <row r="389" spans="24:33" x14ac:dyDescent="0.25">
      <c r="X389" s="86"/>
      <c r="AG389" s="94"/>
    </row>
    <row r="390" spans="24:33" x14ac:dyDescent="0.25">
      <c r="X390" s="86"/>
      <c r="AG390" s="94"/>
    </row>
    <row r="391" spans="24:33" x14ac:dyDescent="0.25">
      <c r="X391" s="86"/>
      <c r="AG391" s="94"/>
    </row>
    <row r="392" spans="24:33" x14ac:dyDescent="0.25">
      <c r="X392" s="86"/>
      <c r="AG392" s="94"/>
    </row>
    <row r="393" spans="24:33" x14ac:dyDescent="0.25">
      <c r="X393" s="86"/>
      <c r="AG393" s="94"/>
    </row>
    <row r="394" spans="24:33" x14ac:dyDescent="0.25">
      <c r="X394" s="86"/>
      <c r="AG394" s="94"/>
    </row>
    <row r="395" spans="24:33" x14ac:dyDescent="0.25">
      <c r="X395" s="86"/>
      <c r="AG395" s="94"/>
    </row>
    <row r="396" spans="24:33" x14ac:dyDescent="0.25">
      <c r="X396" s="86"/>
      <c r="AG396" s="94"/>
    </row>
    <row r="397" spans="24:33" x14ac:dyDescent="0.25">
      <c r="X397" s="86"/>
      <c r="AG397" s="94"/>
    </row>
    <row r="398" spans="24:33" x14ac:dyDescent="0.25">
      <c r="X398" s="86"/>
      <c r="AG398" s="94"/>
    </row>
    <row r="399" spans="24:33" x14ac:dyDescent="0.25">
      <c r="X399" s="86"/>
      <c r="AG399" s="94"/>
    </row>
    <row r="400" spans="24:33" x14ac:dyDescent="0.25">
      <c r="X400" s="86"/>
      <c r="AG400" s="94"/>
    </row>
    <row r="401" spans="24:33" x14ac:dyDescent="0.25">
      <c r="X401" s="86"/>
      <c r="AG401" s="94"/>
    </row>
    <row r="402" spans="24:33" x14ac:dyDescent="0.25">
      <c r="X402" s="86"/>
      <c r="AG402" s="94"/>
    </row>
    <row r="403" spans="24:33" x14ac:dyDescent="0.25">
      <c r="X403" s="86"/>
      <c r="AG403" s="94"/>
    </row>
    <row r="404" spans="24:33" x14ac:dyDescent="0.25">
      <c r="X404" s="86"/>
      <c r="AG404" s="94"/>
    </row>
    <row r="405" spans="24:33" x14ac:dyDescent="0.25">
      <c r="X405" s="86"/>
      <c r="AG405" s="94"/>
    </row>
    <row r="406" spans="24:33" x14ac:dyDescent="0.25">
      <c r="X406" s="86"/>
      <c r="AG406" s="94"/>
    </row>
    <row r="407" spans="24:33" x14ac:dyDescent="0.25">
      <c r="X407" s="86"/>
      <c r="AG407" s="94"/>
    </row>
    <row r="408" spans="24:33" x14ac:dyDescent="0.25">
      <c r="X408" s="86"/>
      <c r="AG408" s="94"/>
    </row>
    <row r="409" spans="24:33" x14ac:dyDescent="0.25">
      <c r="X409" s="86"/>
      <c r="AG409" s="94"/>
    </row>
    <row r="410" spans="24:33" x14ac:dyDescent="0.25">
      <c r="X410" s="86"/>
      <c r="AG410" s="94"/>
    </row>
    <row r="411" spans="24:33" x14ac:dyDescent="0.25">
      <c r="X411" s="86"/>
      <c r="AG411" s="94"/>
    </row>
    <row r="412" spans="24:33" x14ac:dyDescent="0.25">
      <c r="X412" s="86"/>
      <c r="AG412" s="94"/>
    </row>
    <row r="413" spans="24:33" x14ac:dyDescent="0.25">
      <c r="X413" s="86"/>
      <c r="AG413" s="94"/>
    </row>
    <row r="414" spans="24:33" x14ac:dyDescent="0.25">
      <c r="X414" s="86"/>
      <c r="AG414" s="94"/>
    </row>
    <row r="415" spans="24:33" x14ac:dyDescent="0.25">
      <c r="X415" s="86"/>
      <c r="AG415" s="94"/>
    </row>
    <row r="416" spans="24:33" x14ac:dyDescent="0.25">
      <c r="X416" s="86"/>
      <c r="AG416" s="94"/>
    </row>
    <row r="417" spans="24:33" x14ac:dyDescent="0.25">
      <c r="X417" s="86"/>
      <c r="AG417" s="94"/>
    </row>
    <row r="418" spans="24:33" x14ac:dyDescent="0.25">
      <c r="X418" s="86"/>
      <c r="AG418" s="94"/>
    </row>
    <row r="419" spans="24:33" x14ac:dyDescent="0.25">
      <c r="X419" s="86"/>
      <c r="AG419" s="94"/>
    </row>
    <row r="420" spans="24:33" x14ac:dyDescent="0.25">
      <c r="X420" s="86"/>
      <c r="AG420" s="94"/>
    </row>
    <row r="421" spans="24:33" x14ac:dyDescent="0.25">
      <c r="X421" s="86"/>
      <c r="AG421" s="94"/>
    </row>
    <row r="422" spans="24:33" x14ac:dyDescent="0.25">
      <c r="X422" s="86"/>
      <c r="AG422" s="94"/>
    </row>
    <row r="423" spans="24:33" x14ac:dyDescent="0.25">
      <c r="X423" s="86"/>
      <c r="AG423" s="94"/>
    </row>
    <row r="424" spans="24:33" x14ac:dyDescent="0.25">
      <c r="X424" s="86"/>
      <c r="AG424" s="94"/>
    </row>
    <row r="425" spans="24:33" x14ac:dyDescent="0.25">
      <c r="X425" s="86"/>
      <c r="AG425" s="94"/>
    </row>
    <row r="426" spans="24:33" x14ac:dyDescent="0.25">
      <c r="X426" s="86"/>
      <c r="AG426" s="94"/>
    </row>
    <row r="427" spans="24:33" x14ac:dyDescent="0.25">
      <c r="X427" s="86"/>
      <c r="AG427" s="94"/>
    </row>
    <row r="428" spans="24:33" x14ac:dyDescent="0.25">
      <c r="X428" s="86"/>
      <c r="AG428" s="94"/>
    </row>
    <row r="429" spans="24:33" x14ac:dyDescent="0.25">
      <c r="X429" s="86"/>
      <c r="AG429" s="94"/>
    </row>
    <row r="430" spans="24:33" x14ac:dyDescent="0.25">
      <c r="X430" s="86"/>
      <c r="AG430" s="94"/>
    </row>
    <row r="431" spans="24:33" x14ac:dyDescent="0.25">
      <c r="X431" s="86"/>
      <c r="AG431" s="94"/>
    </row>
    <row r="432" spans="24:33" x14ac:dyDescent="0.25">
      <c r="X432" s="86"/>
      <c r="AG432" s="94"/>
    </row>
    <row r="433" spans="24:33" x14ac:dyDescent="0.25">
      <c r="X433" s="86"/>
      <c r="AG433" s="94"/>
    </row>
    <row r="434" spans="24:33" x14ac:dyDescent="0.25">
      <c r="X434" s="86"/>
      <c r="AG434" s="94"/>
    </row>
    <row r="435" spans="24:33" x14ac:dyDescent="0.25">
      <c r="X435" s="86"/>
      <c r="AG435" s="94"/>
    </row>
    <row r="436" spans="24:33" x14ac:dyDescent="0.25">
      <c r="X436" s="86"/>
      <c r="AG436" s="94"/>
    </row>
    <row r="437" spans="24:33" x14ac:dyDescent="0.25">
      <c r="X437" s="86"/>
      <c r="AG437" s="94"/>
    </row>
    <row r="438" spans="24:33" x14ac:dyDescent="0.25">
      <c r="X438" s="86"/>
      <c r="AG438" s="94"/>
    </row>
    <row r="439" spans="24:33" x14ac:dyDescent="0.25">
      <c r="X439" s="86"/>
      <c r="AG439" s="94"/>
    </row>
    <row r="440" spans="24:33" x14ac:dyDescent="0.25">
      <c r="X440" s="86"/>
      <c r="AG440" s="94"/>
    </row>
    <row r="441" spans="24:33" x14ac:dyDescent="0.25">
      <c r="X441" s="86"/>
      <c r="AG441" s="94"/>
    </row>
    <row r="442" spans="24:33" x14ac:dyDescent="0.25">
      <c r="X442" s="86"/>
      <c r="AG442" s="94"/>
    </row>
    <row r="443" spans="24:33" x14ac:dyDescent="0.25">
      <c r="X443" s="86"/>
      <c r="AG443" s="94"/>
    </row>
    <row r="444" spans="24:33" x14ac:dyDescent="0.25">
      <c r="X444" s="86"/>
      <c r="AG444" s="94"/>
    </row>
    <row r="445" spans="24:33" x14ac:dyDescent="0.25">
      <c r="X445" s="86"/>
      <c r="AG445" s="94"/>
    </row>
    <row r="446" spans="24:33" x14ac:dyDescent="0.25">
      <c r="X446" s="86"/>
      <c r="AG446" s="94"/>
    </row>
    <row r="447" spans="24:33" x14ac:dyDescent="0.25">
      <c r="X447" s="86"/>
      <c r="AG447" s="94"/>
    </row>
    <row r="448" spans="24:33" x14ac:dyDescent="0.25">
      <c r="X448" s="86"/>
      <c r="AG448" s="94"/>
    </row>
    <row r="449" spans="24:33" x14ac:dyDescent="0.25">
      <c r="X449" s="86"/>
      <c r="AG449" s="94"/>
    </row>
    <row r="450" spans="24:33" x14ac:dyDescent="0.25">
      <c r="X450" s="86"/>
      <c r="AG450" s="94"/>
    </row>
    <row r="451" spans="24:33" x14ac:dyDescent="0.25">
      <c r="X451" s="86"/>
      <c r="AG451" s="94"/>
    </row>
    <row r="452" spans="24:33" x14ac:dyDescent="0.25">
      <c r="X452" s="86"/>
      <c r="AG452" s="94"/>
    </row>
    <row r="453" spans="24:33" x14ac:dyDescent="0.25">
      <c r="X453" s="86"/>
      <c r="AG453" s="94"/>
    </row>
    <row r="454" spans="24:33" x14ac:dyDescent="0.25">
      <c r="X454" s="86"/>
      <c r="AG454" s="94"/>
    </row>
    <row r="455" spans="24:33" x14ac:dyDescent="0.25">
      <c r="X455" s="86"/>
      <c r="AG455" s="94"/>
    </row>
    <row r="456" spans="24:33" x14ac:dyDescent="0.25">
      <c r="X456" s="86"/>
      <c r="AG456" s="94"/>
    </row>
    <row r="457" spans="24:33" x14ac:dyDescent="0.25">
      <c r="X457" s="86"/>
      <c r="AG457" s="94"/>
    </row>
    <row r="458" spans="24:33" x14ac:dyDescent="0.25">
      <c r="X458" s="86"/>
      <c r="AG458" s="94"/>
    </row>
    <row r="459" spans="24:33" x14ac:dyDescent="0.25">
      <c r="X459" s="86"/>
      <c r="AG459" s="94"/>
    </row>
    <row r="460" spans="24:33" x14ac:dyDescent="0.25">
      <c r="X460" s="86"/>
      <c r="AG460" s="94"/>
    </row>
    <row r="461" spans="24:33" x14ac:dyDescent="0.25">
      <c r="X461" s="86"/>
      <c r="AG461" s="94"/>
    </row>
    <row r="462" spans="24:33" x14ac:dyDescent="0.25">
      <c r="X462" s="86"/>
      <c r="AG462" s="94"/>
    </row>
    <row r="463" spans="24:33" x14ac:dyDescent="0.25">
      <c r="X463" s="86"/>
      <c r="AG463" s="94"/>
    </row>
    <row r="464" spans="24:33" x14ac:dyDescent="0.25">
      <c r="X464" s="86"/>
      <c r="AG464" s="94"/>
    </row>
    <row r="465" spans="24:33" x14ac:dyDescent="0.25">
      <c r="X465" s="86"/>
      <c r="AG465" s="94"/>
    </row>
    <row r="466" spans="24:33" x14ac:dyDescent="0.25">
      <c r="X466" s="86"/>
      <c r="AG466" s="94"/>
    </row>
    <row r="467" spans="24:33" x14ac:dyDescent="0.25">
      <c r="X467" s="86"/>
      <c r="AG467" s="94"/>
    </row>
    <row r="468" spans="24:33" x14ac:dyDescent="0.25">
      <c r="X468" s="86"/>
      <c r="AG468" s="94"/>
    </row>
    <row r="469" spans="24:33" x14ac:dyDescent="0.25">
      <c r="X469" s="86"/>
      <c r="AG469" s="94"/>
    </row>
    <row r="470" spans="24:33" x14ac:dyDescent="0.25">
      <c r="X470" s="86"/>
      <c r="AG470" s="94"/>
    </row>
    <row r="471" spans="24:33" x14ac:dyDescent="0.25">
      <c r="X471" s="86"/>
      <c r="AG471" s="94"/>
    </row>
    <row r="472" spans="24:33" x14ac:dyDescent="0.25">
      <c r="X472" s="86"/>
      <c r="AG472" s="94"/>
    </row>
    <row r="473" spans="24:33" x14ac:dyDescent="0.25">
      <c r="X473" s="86"/>
      <c r="AG473" s="94"/>
    </row>
    <row r="474" spans="24:33" x14ac:dyDescent="0.25">
      <c r="X474" s="86"/>
      <c r="AG474" s="94"/>
    </row>
    <row r="475" spans="24:33" x14ac:dyDescent="0.25">
      <c r="X475" s="86"/>
      <c r="AG475" s="94"/>
    </row>
    <row r="476" spans="24:33" x14ac:dyDescent="0.25">
      <c r="X476" s="86"/>
      <c r="AG476" s="94"/>
    </row>
    <row r="477" spans="24:33" x14ac:dyDescent="0.25">
      <c r="X477" s="86"/>
      <c r="AG477" s="94"/>
    </row>
    <row r="478" spans="24:33" x14ac:dyDescent="0.25">
      <c r="X478" s="86"/>
      <c r="AG478" s="94"/>
    </row>
    <row r="479" spans="24:33" x14ac:dyDescent="0.25">
      <c r="X479" s="86"/>
      <c r="AG479" s="94"/>
    </row>
    <row r="480" spans="24:33" x14ac:dyDescent="0.25">
      <c r="X480" s="86"/>
      <c r="AG480" s="94"/>
    </row>
    <row r="481" spans="24:33" x14ac:dyDescent="0.25">
      <c r="X481" s="86"/>
      <c r="AG481" s="94"/>
    </row>
    <row r="482" spans="24:33" x14ac:dyDescent="0.25">
      <c r="X482" s="86"/>
      <c r="AG482" s="94"/>
    </row>
    <row r="483" spans="24:33" x14ac:dyDescent="0.25">
      <c r="X483" s="86"/>
      <c r="AG483" s="94"/>
    </row>
    <row r="484" spans="24:33" x14ac:dyDescent="0.25">
      <c r="X484" s="86"/>
      <c r="AG484" s="94"/>
    </row>
    <row r="485" spans="24:33" x14ac:dyDescent="0.25">
      <c r="X485" s="86"/>
      <c r="AG485" s="94"/>
    </row>
    <row r="486" spans="24:33" x14ac:dyDescent="0.25">
      <c r="X486" s="86"/>
      <c r="AG486" s="94"/>
    </row>
    <row r="487" spans="24:33" x14ac:dyDescent="0.25">
      <c r="X487" s="86"/>
      <c r="AG487" s="94"/>
    </row>
    <row r="488" spans="24:33" x14ac:dyDescent="0.25">
      <c r="X488" s="86"/>
      <c r="AG488" s="94"/>
    </row>
    <row r="489" spans="24:33" x14ac:dyDescent="0.25">
      <c r="X489" s="86"/>
      <c r="AG489" s="94"/>
    </row>
    <row r="490" spans="24:33" x14ac:dyDescent="0.25">
      <c r="X490" s="86"/>
      <c r="AG490" s="94"/>
    </row>
    <row r="491" spans="24:33" x14ac:dyDescent="0.25">
      <c r="X491" s="86"/>
      <c r="AG491" s="94"/>
    </row>
    <row r="492" spans="24:33" x14ac:dyDescent="0.25">
      <c r="X492" s="86"/>
      <c r="AG492" s="94"/>
    </row>
    <row r="493" spans="24:33" x14ac:dyDescent="0.25">
      <c r="X493" s="86"/>
      <c r="AG493" s="94"/>
    </row>
    <row r="494" spans="24:33" x14ac:dyDescent="0.25">
      <c r="X494" s="86"/>
      <c r="AG494" s="94"/>
    </row>
    <row r="495" spans="24:33" x14ac:dyDescent="0.25">
      <c r="X495" s="86"/>
      <c r="AG495" s="94"/>
    </row>
    <row r="496" spans="24:33" x14ac:dyDescent="0.25">
      <c r="X496" s="86"/>
      <c r="AG496" s="94"/>
    </row>
    <row r="497" spans="24:33" x14ac:dyDescent="0.25">
      <c r="X497" s="86"/>
      <c r="AG497" s="94"/>
    </row>
    <row r="498" spans="24:33" x14ac:dyDescent="0.25">
      <c r="X498" s="86"/>
      <c r="AG498" s="94"/>
    </row>
    <row r="499" spans="24:33" x14ac:dyDescent="0.25">
      <c r="X499" s="86"/>
      <c r="AG499" s="94"/>
    </row>
    <row r="500" spans="24:33" x14ac:dyDescent="0.25">
      <c r="X500" s="86"/>
      <c r="AG500" s="94"/>
    </row>
    <row r="501" spans="24:33" x14ac:dyDescent="0.25">
      <c r="X501" s="86"/>
      <c r="AG501" s="94"/>
    </row>
    <row r="502" spans="24:33" x14ac:dyDescent="0.25">
      <c r="X502" s="86"/>
      <c r="AG502" s="94"/>
    </row>
    <row r="503" spans="24:33" x14ac:dyDescent="0.25">
      <c r="X503" s="86"/>
      <c r="AG503" s="94"/>
    </row>
    <row r="504" spans="24:33" x14ac:dyDescent="0.25">
      <c r="X504" s="86"/>
      <c r="AG504" s="94"/>
    </row>
    <row r="505" spans="24:33" x14ac:dyDescent="0.25">
      <c r="X505" s="86"/>
      <c r="AG505" s="94"/>
    </row>
    <row r="506" spans="24:33" x14ac:dyDescent="0.25">
      <c r="X506" s="86"/>
      <c r="AG506" s="94"/>
    </row>
    <row r="507" spans="24:33" x14ac:dyDescent="0.25">
      <c r="X507" s="86"/>
      <c r="AG507" s="94"/>
    </row>
    <row r="508" spans="24:33" x14ac:dyDescent="0.25">
      <c r="X508" s="86"/>
      <c r="AG508" s="94"/>
    </row>
    <row r="509" spans="24:33" x14ac:dyDescent="0.25">
      <c r="X509" s="86"/>
      <c r="AG509" s="94"/>
    </row>
    <row r="510" spans="24:33" x14ac:dyDescent="0.25">
      <c r="X510" s="86"/>
      <c r="AG510" s="94"/>
    </row>
    <row r="511" spans="24:33" x14ac:dyDescent="0.25">
      <c r="X511" s="86"/>
      <c r="AG511" s="94"/>
    </row>
    <row r="512" spans="24:33" x14ac:dyDescent="0.25">
      <c r="X512" s="86"/>
      <c r="AG512" s="94"/>
    </row>
    <row r="513" spans="24:33" x14ac:dyDescent="0.25">
      <c r="X513" s="86"/>
      <c r="AG513" s="94"/>
    </row>
    <row r="514" spans="24:33" x14ac:dyDescent="0.25">
      <c r="X514" s="86"/>
      <c r="AG514" s="94"/>
    </row>
    <row r="515" spans="24:33" x14ac:dyDescent="0.25">
      <c r="X515" s="86"/>
      <c r="AG515" s="94"/>
    </row>
    <row r="516" spans="24:33" x14ac:dyDescent="0.25">
      <c r="X516" s="86"/>
      <c r="AG516" s="94"/>
    </row>
    <row r="517" spans="24:33" x14ac:dyDescent="0.25">
      <c r="X517" s="86"/>
      <c r="AG517" s="94"/>
    </row>
    <row r="518" spans="24:33" x14ac:dyDescent="0.25">
      <c r="X518" s="86"/>
      <c r="AG518" s="94"/>
    </row>
    <row r="519" spans="24:33" x14ac:dyDescent="0.25">
      <c r="X519" s="86"/>
      <c r="AG519" s="94"/>
    </row>
    <row r="520" spans="24:33" x14ac:dyDescent="0.25">
      <c r="X520" s="86"/>
      <c r="AG520" s="94"/>
    </row>
    <row r="521" spans="24:33" x14ac:dyDescent="0.25">
      <c r="X521" s="86"/>
      <c r="AG521" s="94"/>
    </row>
    <row r="522" spans="24:33" x14ac:dyDescent="0.25">
      <c r="X522" s="86"/>
      <c r="AG522" s="94"/>
    </row>
    <row r="523" spans="24:33" x14ac:dyDescent="0.25">
      <c r="X523" s="86"/>
      <c r="AG523" s="94"/>
    </row>
    <row r="524" spans="24:33" x14ac:dyDescent="0.25">
      <c r="X524" s="86"/>
      <c r="AG524" s="94"/>
    </row>
    <row r="525" spans="24:33" x14ac:dyDescent="0.25">
      <c r="X525" s="86"/>
      <c r="AG525" s="94"/>
    </row>
    <row r="526" spans="24:33" x14ac:dyDescent="0.25">
      <c r="X526" s="86"/>
      <c r="AG526" s="94"/>
    </row>
    <row r="527" spans="24:33" x14ac:dyDescent="0.25">
      <c r="X527" s="86"/>
      <c r="AG527" s="94"/>
    </row>
    <row r="528" spans="24:33" x14ac:dyDescent="0.25">
      <c r="X528" s="86"/>
      <c r="AG528" s="94"/>
    </row>
    <row r="529" spans="24:33" x14ac:dyDescent="0.25">
      <c r="X529" s="86"/>
      <c r="AG529" s="94"/>
    </row>
    <row r="530" spans="24:33" x14ac:dyDescent="0.25">
      <c r="X530" s="86"/>
      <c r="AG530" s="94"/>
    </row>
    <row r="531" spans="24:33" x14ac:dyDescent="0.25">
      <c r="X531" s="86"/>
      <c r="AG531" s="94"/>
    </row>
    <row r="532" spans="24:33" x14ac:dyDescent="0.25">
      <c r="X532" s="86"/>
      <c r="AG532" s="94"/>
    </row>
    <row r="533" spans="24:33" x14ac:dyDescent="0.25">
      <c r="X533" s="86"/>
      <c r="AG533" s="94"/>
    </row>
    <row r="534" spans="24:33" x14ac:dyDescent="0.25">
      <c r="X534" s="86"/>
      <c r="AG534" s="94"/>
    </row>
    <row r="535" spans="24:33" x14ac:dyDescent="0.25">
      <c r="X535" s="86"/>
      <c r="AG535" s="94"/>
    </row>
    <row r="536" spans="24:33" x14ac:dyDescent="0.25">
      <c r="X536" s="86"/>
      <c r="AG536" s="94"/>
    </row>
    <row r="537" spans="24:33" x14ac:dyDescent="0.25">
      <c r="X537" s="86"/>
      <c r="AG537" s="94"/>
    </row>
    <row r="538" spans="24:33" x14ac:dyDescent="0.25">
      <c r="X538" s="86"/>
      <c r="AG538" s="94"/>
    </row>
    <row r="539" spans="24:33" x14ac:dyDescent="0.25">
      <c r="X539" s="86"/>
      <c r="AG539" s="94"/>
    </row>
    <row r="540" spans="24:33" x14ac:dyDescent="0.25">
      <c r="X540" s="86"/>
      <c r="AG540" s="94"/>
    </row>
    <row r="541" spans="24:33" x14ac:dyDescent="0.25">
      <c r="X541" s="86"/>
      <c r="AG541" s="94"/>
    </row>
    <row r="542" spans="24:33" x14ac:dyDescent="0.25">
      <c r="X542" s="86"/>
      <c r="AG542" s="94"/>
    </row>
    <row r="543" spans="24:33" x14ac:dyDescent="0.25">
      <c r="X543" s="86"/>
      <c r="AG543" s="94"/>
    </row>
    <row r="544" spans="24:33" x14ac:dyDescent="0.25">
      <c r="X544" s="86"/>
      <c r="AG544" s="94"/>
    </row>
    <row r="545" spans="24:33" x14ac:dyDescent="0.25">
      <c r="X545" s="86"/>
      <c r="AG545" s="94"/>
    </row>
    <row r="546" spans="24:33" x14ac:dyDescent="0.25">
      <c r="X546" s="86"/>
      <c r="AG546" s="94"/>
    </row>
    <row r="547" spans="24:33" x14ac:dyDescent="0.25">
      <c r="X547" s="86"/>
      <c r="AG547" s="94"/>
    </row>
    <row r="548" spans="24:33" x14ac:dyDescent="0.25">
      <c r="X548" s="86"/>
      <c r="AG548" s="94"/>
    </row>
    <row r="549" spans="24:33" x14ac:dyDescent="0.25">
      <c r="X549" s="86"/>
      <c r="AG549" s="94"/>
    </row>
    <row r="550" spans="24:33" x14ac:dyDescent="0.25">
      <c r="X550" s="86"/>
      <c r="AG550" s="94"/>
    </row>
    <row r="551" spans="24:33" x14ac:dyDescent="0.25">
      <c r="X551" s="86"/>
      <c r="AG551" s="94"/>
    </row>
    <row r="552" spans="24:33" x14ac:dyDescent="0.25">
      <c r="X552" s="86"/>
      <c r="AG552" s="94"/>
    </row>
    <row r="553" spans="24:33" x14ac:dyDescent="0.25">
      <c r="X553" s="86"/>
      <c r="AG553" s="94"/>
    </row>
    <row r="554" spans="24:33" x14ac:dyDescent="0.25">
      <c r="X554" s="86"/>
      <c r="AG554" s="94"/>
    </row>
    <row r="555" spans="24:33" x14ac:dyDescent="0.25">
      <c r="X555" s="86"/>
      <c r="AG555" s="94"/>
    </row>
    <row r="556" spans="24:33" x14ac:dyDescent="0.25">
      <c r="X556" s="86"/>
      <c r="AG556" s="94"/>
    </row>
    <row r="557" spans="24:33" x14ac:dyDescent="0.25">
      <c r="X557" s="86"/>
      <c r="AG557" s="94"/>
    </row>
    <row r="558" spans="24:33" x14ac:dyDescent="0.25">
      <c r="X558" s="86"/>
      <c r="AG558" s="94"/>
    </row>
    <row r="559" spans="24:33" x14ac:dyDescent="0.25">
      <c r="X559" s="86"/>
      <c r="AG559" s="94"/>
    </row>
    <row r="560" spans="24:33" x14ac:dyDescent="0.25">
      <c r="X560" s="86"/>
      <c r="AG560" s="94"/>
    </row>
    <row r="561" spans="24:33" x14ac:dyDescent="0.25">
      <c r="X561" s="86"/>
      <c r="AG561" s="94"/>
    </row>
    <row r="562" spans="24:33" x14ac:dyDescent="0.25">
      <c r="X562" s="86"/>
      <c r="AG562" s="94"/>
    </row>
    <row r="563" spans="24:33" x14ac:dyDescent="0.25">
      <c r="X563" s="86"/>
      <c r="AG563" s="94"/>
    </row>
    <row r="564" spans="24:33" x14ac:dyDescent="0.25">
      <c r="X564" s="86"/>
      <c r="AG564" s="94"/>
    </row>
    <row r="565" spans="24:33" x14ac:dyDescent="0.25">
      <c r="X565" s="86"/>
      <c r="AG565" s="94"/>
    </row>
    <row r="566" spans="24:33" x14ac:dyDescent="0.25">
      <c r="X566" s="86"/>
      <c r="AG566" s="94"/>
    </row>
    <row r="567" spans="24:33" x14ac:dyDescent="0.25">
      <c r="X567" s="86"/>
      <c r="AG567" s="94"/>
    </row>
    <row r="568" spans="24:33" x14ac:dyDescent="0.25">
      <c r="X568" s="86"/>
      <c r="AG568" s="94"/>
    </row>
    <row r="569" spans="24:33" x14ac:dyDescent="0.25">
      <c r="X569" s="86"/>
      <c r="AG569" s="94"/>
    </row>
    <row r="570" spans="24:33" x14ac:dyDescent="0.25">
      <c r="X570" s="86"/>
      <c r="AG570" s="94"/>
    </row>
    <row r="571" spans="24:33" x14ac:dyDescent="0.25">
      <c r="X571" s="86"/>
      <c r="AG571" s="94"/>
    </row>
    <row r="572" spans="24:33" x14ac:dyDescent="0.25">
      <c r="X572" s="86"/>
      <c r="AG572" s="94"/>
    </row>
    <row r="573" spans="24:33" x14ac:dyDescent="0.25">
      <c r="X573" s="86"/>
      <c r="AG573" s="94"/>
    </row>
    <row r="574" spans="24:33" x14ac:dyDescent="0.25">
      <c r="X574" s="86"/>
      <c r="AG574" s="94"/>
    </row>
    <row r="575" spans="24:33" x14ac:dyDescent="0.25">
      <c r="X575" s="86"/>
      <c r="AG575" s="94"/>
    </row>
    <row r="576" spans="24:33" x14ac:dyDescent="0.25">
      <c r="X576" s="86"/>
      <c r="AG576" s="94"/>
    </row>
    <row r="577" spans="24:33" x14ac:dyDescent="0.25">
      <c r="X577" s="86"/>
      <c r="AG577" s="94"/>
    </row>
    <row r="578" spans="24:33" x14ac:dyDescent="0.25">
      <c r="X578" s="86"/>
      <c r="AG578" s="94"/>
    </row>
    <row r="579" spans="24:33" x14ac:dyDescent="0.25">
      <c r="X579" s="86"/>
      <c r="AG579" s="94"/>
    </row>
    <row r="580" spans="24:33" x14ac:dyDescent="0.25">
      <c r="X580" s="86"/>
      <c r="AG580" s="94"/>
    </row>
    <row r="581" spans="24:33" x14ac:dyDescent="0.25">
      <c r="X581" s="86"/>
      <c r="AG581" s="94"/>
    </row>
    <row r="582" spans="24:33" x14ac:dyDescent="0.25">
      <c r="X582" s="86"/>
      <c r="AG582" s="94"/>
    </row>
    <row r="583" spans="24:33" x14ac:dyDescent="0.25">
      <c r="X583" s="86"/>
      <c r="AG583" s="94"/>
    </row>
    <row r="584" spans="24:33" x14ac:dyDescent="0.25">
      <c r="X584" s="86"/>
      <c r="AG584" s="94"/>
    </row>
    <row r="585" spans="24:33" x14ac:dyDescent="0.25">
      <c r="X585" s="86"/>
      <c r="AG585" s="94"/>
    </row>
    <row r="586" spans="24:33" x14ac:dyDescent="0.25">
      <c r="X586" s="86"/>
      <c r="AG586" s="94"/>
    </row>
    <row r="587" spans="24:33" x14ac:dyDescent="0.25">
      <c r="X587" s="86"/>
      <c r="AG587" s="94"/>
    </row>
    <row r="588" spans="24:33" x14ac:dyDescent="0.25">
      <c r="X588" s="86"/>
      <c r="AG588" s="94"/>
    </row>
    <row r="589" spans="24:33" x14ac:dyDescent="0.25">
      <c r="X589" s="86"/>
      <c r="AG589" s="94"/>
    </row>
    <row r="590" spans="24:33" x14ac:dyDescent="0.25">
      <c r="X590" s="86"/>
      <c r="AG590" s="94"/>
    </row>
    <row r="591" spans="24:33" x14ac:dyDescent="0.25">
      <c r="X591" s="86"/>
      <c r="AG591" s="94"/>
    </row>
    <row r="592" spans="24:33" x14ac:dyDescent="0.25">
      <c r="X592" s="86"/>
      <c r="AG592" s="94"/>
    </row>
    <row r="593" spans="24:33" x14ac:dyDescent="0.25">
      <c r="X593" s="86"/>
      <c r="AG593" s="94"/>
    </row>
    <row r="594" spans="24:33" x14ac:dyDescent="0.25">
      <c r="X594" s="86"/>
      <c r="AG594" s="94"/>
    </row>
    <row r="595" spans="24:33" x14ac:dyDescent="0.25">
      <c r="X595" s="86"/>
      <c r="AG595" s="94"/>
    </row>
    <row r="596" spans="24:33" x14ac:dyDescent="0.25">
      <c r="X596" s="86"/>
      <c r="AG596" s="94"/>
    </row>
    <row r="597" spans="24:33" x14ac:dyDescent="0.25">
      <c r="X597" s="86"/>
      <c r="AG597" s="94"/>
    </row>
    <row r="598" spans="24:33" x14ac:dyDescent="0.25">
      <c r="X598" s="86"/>
      <c r="AG598" s="94"/>
    </row>
    <row r="599" spans="24:33" x14ac:dyDescent="0.25">
      <c r="X599" s="86"/>
      <c r="AG599" s="94"/>
    </row>
    <row r="600" spans="24:33" x14ac:dyDescent="0.25">
      <c r="X600" s="86"/>
      <c r="AG600" s="94"/>
    </row>
    <row r="601" spans="24:33" x14ac:dyDescent="0.25">
      <c r="X601" s="86"/>
      <c r="AG601" s="94"/>
    </row>
    <row r="602" spans="24:33" x14ac:dyDescent="0.25">
      <c r="X602" s="86"/>
      <c r="AG602" s="94"/>
    </row>
    <row r="603" spans="24:33" x14ac:dyDescent="0.25">
      <c r="X603" s="86"/>
      <c r="AG603" s="94"/>
    </row>
    <row r="604" spans="24:33" x14ac:dyDescent="0.25">
      <c r="X604" s="86"/>
      <c r="AG604" s="94"/>
    </row>
    <row r="605" spans="24:33" x14ac:dyDescent="0.25">
      <c r="X605" s="86"/>
      <c r="AG605" s="94"/>
    </row>
    <row r="606" spans="24:33" x14ac:dyDescent="0.25">
      <c r="X606" s="86"/>
      <c r="AG606" s="94"/>
    </row>
    <row r="607" spans="24:33" x14ac:dyDescent="0.25">
      <c r="X607" s="86"/>
      <c r="AG607" s="94"/>
    </row>
    <row r="608" spans="24:33" x14ac:dyDescent="0.25">
      <c r="X608" s="86"/>
      <c r="AG608" s="94"/>
    </row>
    <row r="609" spans="24:33" x14ac:dyDescent="0.25">
      <c r="X609" s="86"/>
      <c r="AG609" s="94"/>
    </row>
    <row r="610" spans="24:33" x14ac:dyDescent="0.25">
      <c r="X610" s="86"/>
      <c r="AG610" s="94"/>
    </row>
    <row r="611" spans="24:33" x14ac:dyDescent="0.25">
      <c r="X611" s="86"/>
      <c r="AG611" s="94"/>
    </row>
    <row r="612" spans="24:33" x14ac:dyDescent="0.25">
      <c r="X612" s="86"/>
      <c r="AG612" s="94"/>
    </row>
    <row r="613" spans="24:33" x14ac:dyDescent="0.25">
      <c r="X613" s="86"/>
      <c r="AG613" s="94"/>
    </row>
    <row r="614" spans="24:33" x14ac:dyDescent="0.25">
      <c r="X614" s="86"/>
      <c r="AG614" s="94"/>
    </row>
    <row r="615" spans="24:33" x14ac:dyDescent="0.25">
      <c r="X615" s="86"/>
      <c r="AG615" s="94"/>
    </row>
    <row r="616" spans="24:33" x14ac:dyDescent="0.25">
      <c r="X616" s="86"/>
      <c r="AG616" s="94"/>
    </row>
    <row r="617" spans="24:33" x14ac:dyDescent="0.25">
      <c r="X617" s="86"/>
      <c r="AG617" s="94"/>
    </row>
    <row r="618" spans="24:33" x14ac:dyDescent="0.25">
      <c r="X618" s="86"/>
      <c r="AG618" s="94"/>
    </row>
    <row r="619" spans="24:33" x14ac:dyDescent="0.25">
      <c r="X619" s="86"/>
      <c r="AG619" s="94"/>
    </row>
    <row r="620" spans="24:33" x14ac:dyDescent="0.25">
      <c r="X620" s="86"/>
      <c r="AG620" s="94"/>
    </row>
    <row r="621" spans="24:33" x14ac:dyDescent="0.25">
      <c r="X621" s="86"/>
      <c r="AG621" s="94"/>
    </row>
    <row r="622" spans="24:33" x14ac:dyDescent="0.25">
      <c r="X622" s="86"/>
      <c r="AG622" s="94"/>
    </row>
    <row r="623" spans="24:33" x14ac:dyDescent="0.25">
      <c r="X623" s="86"/>
      <c r="AG623" s="94"/>
    </row>
    <row r="624" spans="24:33" x14ac:dyDescent="0.25">
      <c r="X624" s="86"/>
      <c r="AG624" s="94"/>
    </row>
    <row r="625" spans="24:33" x14ac:dyDescent="0.25">
      <c r="X625" s="86"/>
      <c r="AG625" s="94"/>
    </row>
    <row r="626" spans="24:33" x14ac:dyDescent="0.25">
      <c r="X626" s="86"/>
      <c r="AG626" s="94"/>
    </row>
    <row r="627" spans="24:33" x14ac:dyDescent="0.25">
      <c r="X627" s="86"/>
      <c r="AG627" s="94"/>
    </row>
    <row r="628" spans="24:33" x14ac:dyDescent="0.25">
      <c r="X628" s="86"/>
      <c r="AG628" s="94"/>
    </row>
    <row r="629" spans="24:33" x14ac:dyDescent="0.25">
      <c r="X629" s="86"/>
      <c r="AG629" s="94"/>
    </row>
    <row r="630" spans="24:33" x14ac:dyDescent="0.25">
      <c r="X630" s="86"/>
      <c r="AG630" s="94"/>
    </row>
    <row r="631" spans="24:33" x14ac:dyDescent="0.25">
      <c r="X631" s="86"/>
      <c r="AG631" s="94"/>
    </row>
    <row r="632" spans="24:33" x14ac:dyDescent="0.25">
      <c r="X632" s="86"/>
      <c r="AG632" s="94"/>
    </row>
    <row r="633" spans="24:33" x14ac:dyDescent="0.25">
      <c r="X633" s="86"/>
      <c r="AG633" s="94"/>
    </row>
    <row r="634" spans="24:33" x14ac:dyDescent="0.25">
      <c r="X634" s="86"/>
      <c r="AG634" s="94"/>
    </row>
    <row r="635" spans="24:33" x14ac:dyDescent="0.25">
      <c r="X635" s="86"/>
      <c r="AG635" s="94"/>
    </row>
    <row r="636" spans="24:33" x14ac:dyDescent="0.25">
      <c r="X636" s="86"/>
      <c r="AG636" s="94"/>
    </row>
    <row r="637" spans="24:33" x14ac:dyDescent="0.25">
      <c r="X637" s="86"/>
      <c r="AG637" s="94"/>
    </row>
    <row r="638" spans="24:33" x14ac:dyDescent="0.25">
      <c r="X638" s="86"/>
      <c r="AG638" s="94"/>
    </row>
    <row r="639" spans="24:33" x14ac:dyDescent="0.25">
      <c r="X639" s="86"/>
      <c r="AG639" s="94"/>
    </row>
    <row r="640" spans="24:33" x14ac:dyDescent="0.25">
      <c r="X640" s="86"/>
      <c r="AG640" s="94"/>
    </row>
    <row r="641" spans="24:33" x14ac:dyDescent="0.25">
      <c r="X641" s="86"/>
      <c r="AG641" s="94"/>
    </row>
    <row r="642" spans="24:33" x14ac:dyDescent="0.25">
      <c r="X642" s="86"/>
      <c r="AG642" s="94"/>
    </row>
    <row r="643" spans="24:33" x14ac:dyDescent="0.25">
      <c r="X643" s="86"/>
      <c r="AG643" s="94"/>
    </row>
    <row r="644" spans="24:33" x14ac:dyDescent="0.25">
      <c r="X644" s="86"/>
      <c r="AG644" s="94"/>
    </row>
    <row r="645" spans="24:33" x14ac:dyDescent="0.25">
      <c r="X645" s="86"/>
      <c r="AG645" s="94"/>
    </row>
    <row r="646" spans="24:33" x14ac:dyDescent="0.25">
      <c r="X646" s="86"/>
      <c r="AG646" s="94"/>
    </row>
    <row r="647" spans="24:33" x14ac:dyDescent="0.25">
      <c r="X647" s="86"/>
      <c r="AG647" s="94"/>
    </row>
    <row r="648" spans="24:33" x14ac:dyDescent="0.25">
      <c r="X648" s="86"/>
      <c r="AG648" s="94"/>
    </row>
    <row r="649" spans="24:33" x14ac:dyDescent="0.25">
      <c r="X649" s="86"/>
      <c r="AG649" s="94"/>
    </row>
    <row r="650" spans="24:33" x14ac:dyDescent="0.25">
      <c r="X650" s="86"/>
      <c r="AG650" s="94"/>
    </row>
    <row r="651" spans="24:33" x14ac:dyDescent="0.25">
      <c r="X651" s="86"/>
      <c r="AG651" s="94"/>
    </row>
    <row r="652" spans="24:33" x14ac:dyDescent="0.25">
      <c r="X652" s="86"/>
      <c r="AG652" s="94"/>
    </row>
    <row r="653" spans="24:33" x14ac:dyDescent="0.25">
      <c r="X653" s="86"/>
      <c r="AG653" s="94"/>
    </row>
    <row r="654" spans="24:33" x14ac:dyDescent="0.25">
      <c r="X654" s="86"/>
      <c r="AG654" s="94"/>
    </row>
    <row r="655" spans="24:33" x14ac:dyDescent="0.25">
      <c r="X655" s="86"/>
      <c r="AG655" s="94"/>
    </row>
    <row r="656" spans="24:33" x14ac:dyDescent="0.25">
      <c r="X656" s="86"/>
      <c r="AG656" s="94"/>
    </row>
    <row r="657" spans="24:33" x14ac:dyDescent="0.25">
      <c r="X657" s="86"/>
      <c r="AG657" s="94"/>
    </row>
    <row r="658" spans="24:33" x14ac:dyDescent="0.25">
      <c r="X658" s="86"/>
      <c r="AG658" s="94"/>
    </row>
    <row r="659" spans="24:33" x14ac:dyDescent="0.25">
      <c r="X659" s="86"/>
      <c r="AG659" s="94"/>
    </row>
    <row r="660" spans="24:33" x14ac:dyDescent="0.25">
      <c r="X660" s="86"/>
      <c r="AG660" s="94"/>
    </row>
    <row r="661" spans="24:33" x14ac:dyDescent="0.25">
      <c r="X661" s="86"/>
      <c r="AG661" s="94"/>
    </row>
    <row r="662" spans="24:33" x14ac:dyDescent="0.25">
      <c r="X662" s="86"/>
      <c r="AG662" s="94"/>
    </row>
    <row r="663" spans="24:33" x14ac:dyDescent="0.25">
      <c r="X663" s="86"/>
      <c r="AG663" s="94"/>
    </row>
    <row r="664" spans="24:33" x14ac:dyDescent="0.25">
      <c r="X664" s="86"/>
      <c r="AG664" s="94"/>
    </row>
    <row r="665" spans="24:33" x14ac:dyDescent="0.25">
      <c r="X665" s="86"/>
      <c r="AG665" s="94"/>
    </row>
    <row r="666" spans="24:33" x14ac:dyDescent="0.25">
      <c r="X666" s="86"/>
      <c r="AG666" s="94"/>
    </row>
    <row r="667" spans="24:33" x14ac:dyDescent="0.25">
      <c r="X667" s="86"/>
      <c r="AG667" s="94"/>
    </row>
    <row r="668" spans="24:33" x14ac:dyDescent="0.25">
      <c r="X668" s="86"/>
      <c r="AG668" s="94"/>
    </row>
    <row r="669" spans="24:33" x14ac:dyDescent="0.25">
      <c r="X669" s="86"/>
      <c r="AG669" s="94"/>
    </row>
    <row r="670" spans="24:33" x14ac:dyDescent="0.25">
      <c r="X670" s="86"/>
      <c r="AG670" s="94"/>
    </row>
    <row r="671" spans="24:33" x14ac:dyDescent="0.25">
      <c r="X671" s="86"/>
      <c r="AG671" s="94"/>
    </row>
    <row r="672" spans="24:33" x14ac:dyDescent="0.25">
      <c r="X672" s="86"/>
      <c r="AG672" s="94"/>
    </row>
    <row r="673" spans="24:33" x14ac:dyDescent="0.25">
      <c r="X673" s="86"/>
      <c r="AG673" s="94"/>
    </row>
    <row r="674" spans="24:33" x14ac:dyDescent="0.25">
      <c r="X674" s="86"/>
      <c r="AG674" s="94"/>
    </row>
    <row r="675" spans="24:33" x14ac:dyDescent="0.25">
      <c r="X675" s="86"/>
      <c r="AG675" s="94"/>
    </row>
    <row r="676" spans="24:33" x14ac:dyDescent="0.25">
      <c r="X676" s="86"/>
      <c r="AG676" s="94"/>
    </row>
    <row r="677" spans="24:33" x14ac:dyDescent="0.25">
      <c r="X677" s="86"/>
      <c r="AG677" s="94"/>
    </row>
    <row r="678" spans="24:33" x14ac:dyDescent="0.25">
      <c r="X678" s="86"/>
      <c r="AG678" s="94"/>
    </row>
    <row r="679" spans="24:33" x14ac:dyDescent="0.25">
      <c r="X679" s="86"/>
      <c r="AG679" s="94"/>
    </row>
    <row r="680" spans="24:33" x14ac:dyDescent="0.25">
      <c r="X680" s="86"/>
      <c r="AG680" s="94"/>
    </row>
    <row r="681" spans="24:33" x14ac:dyDescent="0.25">
      <c r="X681" s="86"/>
      <c r="AG681" s="94"/>
    </row>
    <row r="682" spans="24:33" x14ac:dyDescent="0.25">
      <c r="X682" s="86"/>
      <c r="AG682" s="94"/>
    </row>
    <row r="683" spans="24:33" x14ac:dyDescent="0.25">
      <c r="X683" s="86"/>
      <c r="AG683" s="94"/>
    </row>
    <row r="684" spans="24:33" x14ac:dyDescent="0.25">
      <c r="X684" s="86"/>
      <c r="AG684" s="94"/>
    </row>
    <row r="685" spans="24:33" x14ac:dyDescent="0.25">
      <c r="X685" s="86"/>
      <c r="AG685" s="94"/>
    </row>
    <row r="686" spans="24:33" x14ac:dyDescent="0.25">
      <c r="X686" s="86"/>
      <c r="AG686" s="94"/>
    </row>
    <row r="687" spans="24:33" x14ac:dyDescent="0.25">
      <c r="X687" s="86"/>
      <c r="AG687" s="94"/>
    </row>
    <row r="688" spans="24:33" x14ac:dyDescent="0.25">
      <c r="X688" s="86"/>
      <c r="AG688" s="94"/>
    </row>
    <row r="689" spans="24:33" x14ac:dyDescent="0.25">
      <c r="X689" s="86"/>
      <c r="AG689" s="94"/>
    </row>
    <row r="690" spans="24:33" x14ac:dyDescent="0.25">
      <c r="X690" s="86"/>
      <c r="AG690" s="94"/>
    </row>
    <row r="691" spans="24:33" x14ac:dyDescent="0.25">
      <c r="X691" s="86"/>
      <c r="AG691" s="94"/>
    </row>
    <row r="692" spans="24:33" x14ac:dyDescent="0.25">
      <c r="X692" s="86"/>
      <c r="AG692" s="94"/>
    </row>
    <row r="693" spans="24:33" x14ac:dyDescent="0.25">
      <c r="X693" s="86"/>
      <c r="AG693" s="94"/>
    </row>
    <row r="694" spans="24:33" x14ac:dyDescent="0.25">
      <c r="X694" s="86"/>
      <c r="AG694" s="94"/>
    </row>
    <row r="695" spans="24:33" x14ac:dyDescent="0.25">
      <c r="X695" s="86"/>
      <c r="AG695" s="94"/>
    </row>
    <row r="696" spans="24:33" x14ac:dyDescent="0.25">
      <c r="X696" s="86"/>
      <c r="AG696" s="94"/>
    </row>
    <row r="697" spans="24:33" x14ac:dyDescent="0.25">
      <c r="X697" s="86"/>
      <c r="AG697" s="94"/>
    </row>
    <row r="698" spans="24:33" x14ac:dyDescent="0.25">
      <c r="X698" s="86"/>
      <c r="AG698" s="94"/>
    </row>
    <row r="699" spans="24:33" x14ac:dyDescent="0.25">
      <c r="X699" s="86"/>
      <c r="AG699" s="94"/>
    </row>
    <row r="700" spans="24:33" x14ac:dyDescent="0.25">
      <c r="X700" s="86"/>
      <c r="AG700" s="94"/>
    </row>
    <row r="701" spans="24:33" x14ac:dyDescent="0.25">
      <c r="X701" s="86"/>
      <c r="AG701" s="94"/>
    </row>
    <row r="702" spans="24:33" x14ac:dyDescent="0.25">
      <c r="X702" s="86"/>
      <c r="AG702" s="94"/>
    </row>
    <row r="703" spans="24:33" x14ac:dyDescent="0.25">
      <c r="X703" s="86"/>
      <c r="AG703" s="94"/>
    </row>
    <row r="704" spans="24:33" x14ac:dyDescent="0.25">
      <c r="X704" s="86"/>
      <c r="AG704" s="94"/>
    </row>
    <row r="705" spans="24:33" x14ac:dyDescent="0.25">
      <c r="X705" s="86"/>
      <c r="AG705" s="94"/>
    </row>
    <row r="706" spans="24:33" x14ac:dyDescent="0.25">
      <c r="X706" s="86"/>
      <c r="AG706" s="94"/>
    </row>
    <row r="707" spans="24:33" x14ac:dyDescent="0.25">
      <c r="X707" s="86"/>
      <c r="AG707" s="94"/>
    </row>
    <row r="708" spans="24:33" x14ac:dyDescent="0.25">
      <c r="X708" s="86"/>
      <c r="AG708" s="94"/>
    </row>
    <row r="709" spans="24:33" x14ac:dyDescent="0.25">
      <c r="X709" s="86"/>
      <c r="AG709" s="94"/>
    </row>
    <row r="710" spans="24:33" x14ac:dyDescent="0.25">
      <c r="X710" s="86"/>
      <c r="AG710" s="94"/>
    </row>
    <row r="711" spans="24:33" x14ac:dyDescent="0.25">
      <c r="X711" s="86"/>
      <c r="AG711" s="94"/>
    </row>
    <row r="712" spans="24:33" x14ac:dyDescent="0.25">
      <c r="X712" s="86"/>
      <c r="AG712" s="94"/>
    </row>
    <row r="713" spans="24:33" x14ac:dyDescent="0.25">
      <c r="X713" s="86"/>
      <c r="AG713" s="94"/>
    </row>
    <row r="714" spans="24:33" x14ac:dyDescent="0.25">
      <c r="X714" s="86"/>
      <c r="AG714" s="94"/>
    </row>
    <row r="715" spans="24:33" x14ac:dyDescent="0.25">
      <c r="X715" s="86"/>
      <c r="AG715" s="94"/>
    </row>
    <row r="716" spans="24:33" x14ac:dyDescent="0.25">
      <c r="X716" s="86"/>
      <c r="AG716" s="94"/>
    </row>
    <row r="717" spans="24:33" x14ac:dyDescent="0.25">
      <c r="X717" s="86"/>
      <c r="AG717" s="94"/>
    </row>
    <row r="718" spans="24:33" x14ac:dyDescent="0.25">
      <c r="X718" s="86"/>
      <c r="AG718" s="94"/>
    </row>
    <row r="719" spans="24:33" x14ac:dyDescent="0.25">
      <c r="X719" s="86"/>
      <c r="AG719" s="94"/>
    </row>
    <row r="720" spans="24:33" x14ac:dyDescent="0.25">
      <c r="X720" s="86"/>
      <c r="AG720" s="94"/>
    </row>
    <row r="721" spans="24:33" x14ac:dyDescent="0.25">
      <c r="X721" s="86"/>
      <c r="AG721" s="94"/>
    </row>
    <row r="722" spans="24:33" x14ac:dyDescent="0.25">
      <c r="X722" s="86"/>
      <c r="AG722" s="94"/>
    </row>
    <row r="723" spans="24:33" x14ac:dyDescent="0.25">
      <c r="X723" s="86"/>
      <c r="AG723" s="94"/>
    </row>
    <row r="724" spans="24:33" x14ac:dyDescent="0.25">
      <c r="X724" s="86"/>
      <c r="AG724" s="94"/>
    </row>
    <row r="725" spans="24:33" x14ac:dyDescent="0.25">
      <c r="X725" s="86"/>
      <c r="AG725" s="94"/>
    </row>
    <row r="726" spans="24:33" x14ac:dyDescent="0.25">
      <c r="X726" s="86"/>
      <c r="AG726" s="94"/>
    </row>
    <row r="727" spans="24:33" x14ac:dyDescent="0.25">
      <c r="X727" s="86"/>
      <c r="AG727" s="94"/>
    </row>
    <row r="728" spans="24:33" x14ac:dyDescent="0.25">
      <c r="X728" s="86"/>
      <c r="AG728" s="94"/>
    </row>
    <row r="729" spans="24:33" x14ac:dyDescent="0.25">
      <c r="X729" s="86"/>
      <c r="AG729" s="94"/>
    </row>
    <row r="730" spans="24:33" x14ac:dyDescent="0.25">
      <c r="X730" s="86"/>
      <c r="AG730" s="94"/>
    </row>
    <row r="731" spans="24:33" x14ac:dyDescent="0.25">
      <c r="X731" s="86"/>
      <c r="AG731" s="94"/>
    </row>
    <row r="732" spans="24:33" x14ac:dyDescent="0.25">
      <c r="X732" s="86"/>
      <c r="AG732" s="94"/>
    </row>
    <row r="733" spans="24:33" x14ac:dyDescent="0.25">
      <c r="X733" s="86"/>
      <c r="AG733" s="94"/>
    </row>
    <row r="734" spans="24:33" x14ac:dyDescent="0.25">
      <c r="X734" s="86"/>
      <c r="AG734" s="94"/>
    </row>
    <row r="735" spans="24:33" x14ac:dyDescent="0.25">
      <c r="X735" s="86"/>
      <c r="AG735" s="94"/>
    </row>
    <row r="736" spans="24:33" x14ac:dyDescent="0.25">
      <c r="X736" s="86"/>
      <c r="AG736" s="94"/>
    </row>
    <row r="737" spans="24:33" x14ac:dyDescent="0.25">
      <c r="X737" s="86"/>
      <c r="AG737" s="94"/>
    </row>
    <row r="738" spans="24:33" x14ac:dyDescent="0.25">
      <c r="X738" s="86"/>
      <c r="AG738" s="94"/>
    </row>
    <row r="739" spans="24:33" x14ac:dyDescent="0.25">
      <c r="X739" s="86"/>
      <c r="AG739" s="94"/>
    </row>
    <row r="740" spans="24:33" x14ac:dyDescent="0.25">
      <c r="X740" s="86"/>
      <c r="AG740" s="94"/>
    </row>
    <row r="741" spans="24:33" x14ac:dyDescent="0.25">
      <c r="X741" s="86"/>
      <c r="AG741" s="94"/>
    </row>
    <row r="742" spans="24:33" x14ac:dyDescent="0.25">
      <c r="X742" s="86"/>
      <c r="AG742" s="94"/>
    </row>
    <row r="743" spans="24:33" x14ac:dyDescent="0.25">
      <c r="X743" s="86"/>
      <c r="AG743" s="94"/>
    </row>
    <row r="744" spans="24:33" x14ac:dyDescent="0.25">
      <c r="X744" s="86"/>
      <c r="AG744" s="94"/>
    </row>
    <row r="745" spans="24:33" x14ac:dyDescent="0.25">
      <c r="X745" s="86"/>
      <c r="AG745" s="94"/>
    </row>
    <row r="746" spans="24:33" x14ac:dyDescent="0.25">
      <c r="X746" s="86"/>
      <c r="AG746" s="94"/>
    </row>
    <row r="747" spans="24:33" x14ac:dyDescent="0.25">
      <c r="X747" s="86"/>
      <c r="AG747" s="94"/>
    </row>
    <row r="748" spans="24:33" x14ac:dyDescent="0.25">
      <c r="X748" s="86"/>
      <c r="AG748" s="94"/>
    </row>
    <row r="749" spans="24:33" x14ac:dyDescent="0.25">
      <c r="X749" s="86"/>
      <c r="AG749" s="94"/>
    </row>
    <row r="750" spans="24:33" x14ac:dyDescent="0.25">
      <c r="X750" s="86"/>
      <c r="AG750" s="94"/>
    </row>
    <row r="751" spans="24:33" x14ac:dyDescent="0.25">
      <c r="X751" s="86"/>
      <c r="AG751" s="94"/>
    </row>
    <row r="752" spans="24:33" x14ac:dyDescent="0.25">
      <c r="X752" s="86"/>
      <c r="AG752" s="94"/>
    </row>
    <row r="753" spans="24:33" x14ac:dyDescent="0.25">
      <c r="X753" s="86"/>
      <c r="AG753" s="94"/>
    </row>
    <row r="754" spans="24:33" x14ac:dyDescent="0.25">
      <c r="X754" s="86"/>
      <c r="AG754" s="94"/>
    </row>
    <row r="755" spans="24:33" x14ac:dyDescent="0.25">
      <c r="X755" s="86"/>
      <c r="AG755" s="94"/>
    </row>
    <row r="756" spans="24:33" x14ac:dyDescent="0.25">
      <c r="X756" s="86"/>
      <c r="AG756" s="94"/>
    </row>
    <row r="757" spans="24:33" x14ac:dyDescent="0.25">
      <c r="X757" s="86"/>
      <c r="AG757" s="94"/>
    </row>
    <row r="758" spans="24:33" x14ac:dyDescent="0.25">
      <c r="X758" s="86"/>
      <c r="AG758" s="94"/>
    </row>
    <row r="759" spans="24:33" x14ac:dyDescent="0.25">
      <c r="X759" s="86"/>
      <c r="AG759" s="94"/>
    </row>
    <row r="760" spans="24:33" x14ac:dyDescent="0.25">
      <c r="X760" s="86"/>
      <c r="AG760" s="94"/>
    </row>
    <row r="761" spans="24:33" x14ac:dyDescent="0.25">
      <c r="X761" s="86"/>
      <c r="AG761" s="94"/>
    </row>
    <row r="762" spans="24:33" x14ac:dyDescent="0.25">
      <c r="X762" s="86"/>
      <c r="AG762" s="94"/>
    </row>
    <row r="763" spans="24:33" x14ac:dyDescent="0.25">
      <c r="X763" s="86"/>
      <c r="AG763" s="94"/>
    </row>
    <row r="764" spans="24:33" x14ac:dyDescent="0.25">
      <c r="X764" s="86"/>
      <c r="AG764" s="94"/>
    </row>
    <row r="765" spans="24:33" x14ac:dyDescent="0.25">
      <c r="X765" s="86"/>
      <c r="AG765" s="94"/>
    </row>
    <row r="766" spans="24:33" x14ac:dyDescent="0.25">
      <c r="X766" s="86"/>
      <c r="AG766" s="94"/>
    </row>
    <row r="767" spans="24:33" x14ac:dyDescent="0.25">
      <c r="X767" s="86"/>
      <c r="AG767" s="94"/>
    </row>
    <row r="768" spans="24:33" x14ac:dyDescent="0.25">
      <c r="X768" s="86"/>
      <c r="AG768" s="94"/>
    </row>
    <row r="769" spans="24:33" x14ac:dyDescent="0.25">
      <c r="X769" s="86"/>
      <c r="AG769" s="94"/>
    </row>
    <row r="770" spans="24:33" x14ac:dyDescent="0.25">
      <c r="X770" s="86"/>
      <c r="AG770" s="94"/>
    </row>
    <row r="771" spans="24:33" x14ac:dyDescent="0.25">
      <c r="X771" s="86"/>
      <c r="AG771" s="94"/>
    </row>
    <row r="772" spans="24:33" x14ac:dyDescent="0.25">
      <c r="X772" s="86"/>
      <c r="AG772" s="94"/>
    </row>
    <row r="773" spans="24:33" x14ac:dyDescent="0.25">
      <c r="X773" s="86"/>
      <c r="AG773" s="94"/>
    </row>
    <row r="774" spans="24:33" x14ac:dyDescent="0.25">
      <c r="X774" s="86"/>
      <c r="AG774" s="94"/>
    </row>
    <row r="775" spans="24:33" x14ac:dyDescent="0.25">
      <c r="X775" s="86"/>
      <c r="AG775" s="94"/>
    </row>
    <row r="776" spans="24:33" x14ac:dyDescent="0.25">
      <c r="X776" s="86"/>
      <c r="AG776" s="94"/>
    </row>
    <row r="777" spans="24:33" x14ac:dyDescent="0.25">
      <c r="X777" s="86"/>
      <c r="AG777" s="94"/>
    </row>
    <row r="778" spans="24:33" x14ac:dyDescent="0.25">
      <c r="X778" s="86"/>
      <c r="AG778" s="94"/>
    </row>
    <row r="779" spans="24:33" x14ac:dyDescent="0.25">
      <c r="X779" s="86"/>
      <c r="AG779" s="94"/>
    </row>
    <row r="780" spans="24:33" x14ac:dyDescent="0.25">
      <c r="X780" s="86"/>
      <c r="AG780" s="94"/>
    </row>
    <row r="781" spans="24:33" x14ac:dyDescent="0.25">
      <c r="X781" s="86"/>
      <c r="AG781" s="94"/>
    </row>
    <row r="782" spans="24:33" x14ac:dyDescent="0.25">
      <c r="X782" s="86"/>
      <c r="AG782" s="94"/>
    </row>
    <row r="783" spans="24:33" x14ac:dyDescent="0.25">
      <c r="X783" s="86"/>
      <c r="AG783" s="94"/>
    </row>
    <row r="784" spans="24:33" x14ac:dyDescent="0.25">
      <c r="X784" s="86"/>
      <c r="AG784" s="94"/>
    </row>
    <row r="785" spans="24:33" x14ac:dyDescent="0.25">
      <c r="X785" s="86"/>
      <c r="AG785" s="94"/>
    </row>
    <row r="786" spans="24:33" x14ac:dyDescent="0.25">
      <c r="X786" s="86"/>
      <c r="AG786" s="94"/>
    </row>
    <row r="787" spans="24:33" x14ac:dyDescent="0.25">
      <c r="X787" s="86"/>
      <c r="AG787" s="94"/>
    </row>
    <row r="788" spans="24:33" x14ac:dyDescent="0.25">
      <c r="X788" s="86"/>
      <c r="AG788" s="94"/>
    </row>
    <row r="789" spans="24:33" x14ac:dyDescent="0.25">
      <c r="X789" s="86"/>
      <c r="AG789" s="94"/>
    </row>
    <row r="790" spans="24:33" x14ac:dyDescent="0.25">
      <c r="X790" s="86"/>
      <c r="AG790" s="94"/>
    </row>
    <row r="791" spans="24:33" x14ac:dyDescent="0.25">
      <c r="X791" s="86"/>
      <c r="AG791" s="94"/>
    </row>
    <row r="792" spans="24:33" x14ac:dyDescent="0.25">
      <c r="X792" s="86"/>
      <c r="AG792" s="94"/>
    </row>
    <row r="793" spans="24:33" x14ac:dyDescent="0.25">
      <c r="X793" s="86"/>
      <c r="AG793" s="94"/>
    </row>
    <row r="794" spans="24:33" x14ac:dyDescent="0.25">
      <c r="X794" s="86"/>
      <c r="AG794" s="94"/>
    </row>
    <row r="795" spans="24:33" x14ac:dyDescent="0.25">
      <c r="X795" s="86"/>
      <c r="AG795" s="94"/>
    </row>
    <row r="796" spans="24:33" x14ac:dyDescent="0.25">
      <c r="X796" s="86"/>
      <c r="AG796" s="94"/>
    </row>
    <row r="797" spans="24:33" x14ac:dyDescent="0.25">
      <c r="X797" s="86"/>
      <c r="AG797" s="94"/>
    </row>
    <row r="798" spans="24:33" x14ac:dyDescent="0.25">
      <c r="X798" s="86"/>
      <c r="AG798" s="94"/>
    </row>
    <row r="799" spans="24:33" x14ac:dyDescent="0.25">
      <c r="X799" s="86"/>
      <c r="AG799" s="94"/>
    </row>
    <row r="800" spans="24:33" x14ac:dyDescent="0.25">
      <c r="X800" s="86"/>
      <c r="AG800" s="94"/>
    </row>
    <row r="801" spans="24:33" x14ac:dyDescent="0.25">
      <c r="X801" s="86"/>
      <c r="AG801" s="94"/>
    </row>
    <row r="802" spans="24:33" x14ac:dyDescent="0.25">
      <c r="X802" s="86"/>
      <c r="AG802" s="94"/>
    </row>
    <row r="803" spans="24:33" x14ac:dyDescent="0.25">
      <c r="X803" s="86"/>
      <c r="AG803" s="94"/>
    </row>
    <row r="804" spans="24:33" x14ac:dyDescent="0.25">
      <c r="X804" s="86"/>
      <c r="AG804" s="94"/>
    </row>
    <row r="805" spans="24:33" x14ac:dyDescent="0.25">
      <c r="X805" s="86"/>
      <c r="AG805" s="94"/>
    </row>
    <row r="806" spans="24:33" x14ac:dyDescent="0.25">
      <c r="X806" s="86"/>
      <c r="AG806" s="94"/>
    </row>
    <row r="807" spans="24:33" x14ac:dyDescent="0.25">
      <c r="X807" s="86"/>
      <c r="AG807" s="94"/>
    </row>
    <row r="808" spans="24:33" x14ac:dyDescent="0.25">
      <c r="X808" s="86"/>
      <c r="AG808" s="94"/>
    </row>
    <row r="809" spans="24:33" x14ac:dyDescent="0.25">
      <c r="X809" s="86"/>
      <c r="AG809" s="94"/>
    </row>
    <row r="810" spans="24:33" x14ac:dyDescent="0.25">
      <c r="X810" s="86"/>
      <c r="AG810" s="94"/>
    </row>
    <row r="811" spans="24:33" x14ac:dyDescent="0.25">
      <c r="X811" s="86"/>
      <c r="AG811" s="94"/>
    </row>
    <row r="812" spans="24:33" x14ac:dyDescent="0.25">
      <c r="X812" s="86"/>
      <c r="AG812" s="94"/>
    </row>
    <row r="813" spans="24:33" x14ac:dyDescent="0.25">
      <c r="X813" s="86"/>
      <c r="AG813" s="94"/>
    </row>
    <row r="814" spans="24:33" x14ac:dyDescent="0.25">
      <c r="X814" s="86"/>
      <c r="AG814" s="94"/>
    </row>
    <row r="815" spans="24:33" x14ac:dyDescent="0.25">
      <c r="X815" s="86"/>
      <c r="AG815" s="94"/>
    </row>
    <row r="816" spans="24:33" x14ac:dyDescent="0.25">
      <c r="X816" s="86"/>
      <c r="AG816" s="94"/>
    </row>
    <row r="817" spans="24:33" x14ac:dyDescent="0.25">
      <c r="X817" s="86"/>
      <c r="AG817" s="94"/>
    </row>
    <row r="818" spans="24:33" x14ac:dyDescent="0.25">
      <c r="X818" s="86"/>
      <c r="AG818" s="94"/>
    </row>
    <row r="819" spans="24:33" x14ac:dyDescent="0.25">
      <c r="X819" s="86"/>
      <c r="AG819" s="94"/>
    </row>
    <row r="820" spans="24:33" x14ac:dyDescent="0.25">
      <c r="X820" s="86"/>
      <c r="AG820" s="94"/>
    </row>
    <row r="821" spans="24:33" x14ac:dyDescent="0.25">
      <c r="X821" s="86"/>
      <c r="AG821" s="94"/>
    </row>
    <row r="822" spans="24:33" x14ac:dyDescent="0.25">
      <c r="X822" s="86"/>
      <c r="AG822" s="94"/>
    </row>
    <row r="823" spans="24:33" x14ac:dyDescent="0.25">
      <c r="X823" s="86"/>
      <c r="AG823" s="94"/>
    </row>
    <row r="824" spans="24:33" x14ac:dyDescent="0.25">
      <c r="X824" s="86"/>
      <c r="AG824" s="94"/>
    </row>
    <row r="825" spans="24:33" x14ac:dyDescent="0.25">
      <c r="X825" s="86"/>
      <c r="AG825" s="94"/>
    </row>
    <row r="826" spans="24:33" x14ac:dyDescent="0.25">
      <c r="X826" s="86"/>
      <c r="AG826" s="94"/>
    </row>
    <row r="827" spans="24:33" x14ac:dyDescent="0.25">
      <c r="X827" s="86"/>
      <c r="AG827" s="94"/>
    </row>
    <row r="828" spans="24:33" x14ac:dyDescent="0.25">
      <c r="X828" s="86"/>
      <c r="AG828" s="94"/>
    </row>
    <row r="829" spans="24:33" x14ac:dyDescent="0.25">
      <c r="X829" s="86"/>
      <c r="AG829" s="94"/>
    </row>
    <row r="830" spans="24:33" x14ac:dyDescent="0.25">
      <c r="X830" s="86"/>
      <c r="AG830" s="94"/>
    </row>
    <row r="831" spans="24:33" x14ac:dyDescent="0.25">
      <c r="X831" s="86"/>
    </row>
    <row r="832" spans="24:33" x14ac:dyDescent="0.25">
      <c r="X832" s="86"/>
    </row>
    <row r="833" spans="24:24" x14ac:dyDescent="0.25">
      <c r="X833" s="86"/>
    </row>
    <row r="834" spans="24:24" x14ac:dyDescent="0.25">
      <c r="X834" s="86"/>
    </row>
    <row r="835" spans="24:24" x14ac:dyDescent="0.25">
      <c r="X835" s="86"/>
    </row>
    <row r="836" spans="24:24" x14ac:dyDescent="0.25">
      <c r="X836" s="86"/>
    </row>
  </sheetData>
  <mergeCells count="1">
    <mergeCell ref="B12:M12"/>
  </mergeCells>
  <phoneticPr fontId="16" type="noConversion"/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43138-CBD2-4B1B-B814-E6DABF1AE4F2}">
  <dimension ref="A1:AG836"/>
  <sheetViews>
    <sheetView showGridLines="0" topLeftCell="B34" workbookViewId="0">
      <selection activeCell="B50" sqref="B50"/>
    </sheetView>
  </sheetViews>
  <sheetFormatPr defaultColWidth="9.140625" defaultRowHeight="15" x14ac:dyDescent="0.25"/>
  <cols>
    <col min="1" max="1" width="0" style="4" hidden="1" customWidth="1"/>
    <col min="2" max="2" width="10.42578125" style="4" customWidth="1"/>
    <col min="3" max="3" width="9.5703125" style="4" bestFit="1" customWidth="1"/>
    <col min="4" max="4" width="8.42578125" style="4" customWidth="1"/>
    <col min="5" max="5" width="7.140625" style="71" customWidth="1"/>
    <col min="6" max="6" width="42.5703125" style="4" customWidth="1"/>
    <col min="7" max="7" width="6.5703125" style="4" bestFit="1" customWidth="1"/>
    <col min="8" max="8" width="7.7109375" style="4" bestFit="1" customWidth="1"/>
    <col min="9" max="9" width="7.42578125" style="4" customWidth="1"/>
    <col min="10" max="12" width="8" style="4" customWidth="1"/>
    <col min="13" max="13" width="8.42578125" style="4" bestFit="1" customWidth="1"/>
    <col min="14" max="14" width="10.42578125" style="4" bestFit="1" customWidth="1"/>
    <col min="15" max="15" width="10.42578125" style="4" customWidth="1"/>
    <col min="16" max="16" width="17.42578125" style="85" hidden="1" customWidth="1"/>
    <col min="17" max="17" width="12.28515625" style="86" hidden="1" customWidth="1"/>
    <col min="18" max="18" width="39.5703125" style="85" hidden="1" customWidth="1"/>
    <col min="19" max="19" width="4.28515625" style="86" hidden="1" customWidth="1"/>
    <col min="20" max="23" width="7.5703125" style="86" hidden="1" customWidth="1"/>
    <col min="24" max="25" width="9.140625" style="126" hidden="1" customWidth="1"/>
    <col min="26" max="26" width="17.28515625" style="94" hidden="1" customWidth="1"/>
    <col min="27" max="27" width="39.5703125" style="94" hidden="1" customWidth="1"/>
    <col min="28" max="28" width="4.28515625" style="94" hidden="1" customWidth="1"/>
    <col min="29" max="29" width="7.5703125" style="99" hidden="1" customWidth="1"/>
    <col min="30" max="32" width="7.5703125" style="94" hidden="1" customWidth="1"/>
    <col min="33" max="34" width="0" style="4" hidden="1" customWidth="1"/>
    <col min="35" max="16384" width="9.140625" style="4"/>
  </cols>
  <sheetData>
    <row r="1" spans="2:33" x14ac:dyDescent="0.25">
      <c r="B1" s="4" t="s">
        <v>191</v>
      </c>
      <c r="Q1" s="101"/>
      <c r="X1" s="86"/>
      <c r="AG1" s="94"/>
    </row>
    <row r="2" spans="2:33" ht="18.75" x14ac:dyDescent="0.3">
      <c r="B2" s="1" t="s">
        <v>88</v>
      </c>
      <c r="C2" s="2"/>
      <c r="D2" s="2"/>
      <c r="E2" s="64"/>
      <c r="F2" s="2"/>
      <c r="G2" s="2"/>
      <c r="H2" s="3"/>
      <c r="I2" s="3"/>
      <c r="J2" s="3"/>
      <c r="P2" s="85" t="s">
        <v>205</v>
      </c>
      <c r="Q2" s="101">
        <v>1.03</v>
      </c>
      <c r="R2" s="107"/>
      <c r="S2" s="91"/>
      <c r="X2" s="86"/>
      <c r="AG2" s="94"/>
    </row>
    <row r="3" spans="2:33" x14ac:dyDescent="0.25">
      <c r="B3" s="114" t="s">
        <v>209</v>
      </c>
      <c r="C3" s="2"/>
      <c r="D3" s="2"/>
      <c r="E3" s="64"/>
      <c r="F3" s="2"/>
      <c r="G3" s="2"/>
      <c r="H3" s="3"/>
      <c r="I3" s="3"/>
      <c r="J3" s="3"/>
      <c r="P3" s="85" t="s">
        <v>143</v>
      </c>
      <c r="Q3" s="102" t="s">
        <v>206</v>
      </c>
      <c r="X3" s="86"/>
      <c r="AG3" s="94"/>
    </row>
    <row r="4" spans="2:33" x14ac:dyDescent="0.25">
      <c r="B4" s="115" t="s">
        <v>74</v>
      </c>
      <c r="C4" s="2"/>
      <c r="D4" s="2"/>
      <c r="E4" s="64"/>
      <c r="F4" s="2"/>
      <c r="G4" s="2"/>
      <c r="H4" s="3"/>
      <c r="I4" s="3"/>
      <c r="J4" s="3"/>
      <c r="Q4" s="91"/>
      <c r="X4" s="86"/>
      <c r="AG4" s="94"/>
    </row>
    <row r="5" spans="2:33" x14ac:dyDescent="0.25">
      <c r="B5" s="121" t="s">
        <v>211</v>
      </c>
      <c r="C5" s="2"/>
      <c r="D5" s="2"/>
      <c r="E5" s="64"/>
      <c r="F5" s="2"/>
      <c r="G5" s="2"/>
      <c r="H5" s="3"/>
      <c r="I5" s="3"/>
      <c r="J5" s="3"/>
      <c r="Q5" s="91"/>
      <c r="T5" s="86">
        <v>4</v>
      </c>
      <c r="U5" s="86">
        <v>5</v>
      </c>
      <c r="V5" s="86">
        <v>6</v>
      </c>
      <c r="W5" s="86">
        <v>7</v>
      </c>
      <c r="X5" s="86"/>
      <c r="Z5" s="94" t="s">
        <v>195</v>
      </c>
      <c r="AG5" s="94"/>
    </row>
    <row r="6" spans="2:33" x14ac:dyDescent="0.25">
      <c r="B6" s="121"/>
      <c r="C6" s="2"/>
      <c r="D6" s="2"/>
      <c r="E6" s="64"/>
      <c r="F6" s="2"/>
      <c r="G6" s="2"/>
      <c r="H6" s="3"/>
      <c r="I6" s="3"/>
      <c r="J6" s="3"/>
      <c r="Q6" s="91"/>
      <c r="X6" s="86"/>
      <c r="Z6" s="94" t="s">
        <v>194</v>
      </c>
      <c r="AG6" s="94"/>
    </row>
    <row r="7" spans="2:33" s="10" customFormat="1" ht="30" x14ac:dyDescent="0.25">
      <c r="B7" s="7" t="s">
        <v>1</v>
      </c>
      <c r="C7" s="7" t="s">
        <v>70</v>
      </c>
      <c r="D7" s="7" t="s">
        <v>71</v>
      </c>
      <c r="E7" s="65" t="s">
        <v>86</v>
      </c>
      <c r="F7" s="8" t="s">
        <v>63</v>
      </c>
      <c r="G7" s="7" t="s">
        <v>3</v>
      </c>
      <c r="H7" s="7" t="s">
        <v>150</v>
      </c>
      <c r="I7" s="7" t="s">
        <v>69</v>
      </c>
      <c r="J7" s="7" t="s">
        <v>4</v>
      </c>
      <c r="K7" s="7" t="s">
        <v>5</v>
      </c>
      <c r="L7" s="7" t="s">
        <v>6</v>
      </c>
      <c r="M7" s="7" t="s">
        <v>7</v>
      </c>
      <c r="N7" s="7" t="s">
        <v>204</v>
      </c>
      <c r="P7" s="87" t="s">
        <v>148</v>
      </c>
      <c r="Q7" s="88" t="s">
        <v>71</v>
      </c>
      <c r="R7" s="87" t="s">
        <v>141</v>
      </c>
      <c r="S7" s="88" t="s">
        <v>2</v>
      </c>
      <c r="T7" s="89" t="s">
        <v>4</v>
      </c>
      <c r="U7" s="89" t="s">
        <v>5</v>
      </c>
      <c r="V7" s="89" t="s">
        <v>6</v>
      </c>
      <c r="W7" s="89" t="s">
        <v>7</v>
      </c>
      <c r="X7" s="89" t="s">
        <v>204</v>
      </c>
      <c r="Y7" s="127"/>
      <c r="Z7" s="95" t="s">
        <v>71</v>
      </c>
      <c r="AA7" s="96" t="s">
        <v>141</v>
      </c>
      <c r="AB7" s="95" t="s">
        <v>2</v>
      </c>
      <c r="AC7" s="112" t="s">
        <v>4</v>
      </c>
      <c r="AD7" s="97" t="s">
        <v>5</v>
      </c>
      <c r="AE7" s="97" t="s">
        <v>6</v>
      </c>
      <c r="AF7" s="97" t="s">
        <v>7</v>
      </c>
      <c r="AG7" s="97" t="s">
        <v>204</v>
      </c>
    </row>
    <row r="8" spans="2:33" x14ac:dyDescent="0.25">
      <c r="B8" s="11" t="s">
        <v>8</v>
      </c>
      <c r="C8" s="11">
        <v>2</v>
      </c>
      <c r="D8" s="60" t="s">
        <v>75</v>
      </c>
      <c r="E8" s="66" t="s">
        <v>113</v>
      </c>
      <c r="F8" s="6" t="s">
        <v>87</v>
      </c>
      <c r="G8" s="3" t="s">
        <v>62</v>
      </c>
      <c r="H8" s="3" t="s">
        <v>76</v>
      </c>
      <c r="I8" s="3" t="s">
        <v>12</v>
      </c>
      <c r="J8" s="50">
        <f t="shared" ref="J8:N11" si="0">T8</f>
        <v>29.257090029720739</v>
      </c>
      <c r="K8" s="50" t="str">
        <f>TEXT(U8,"$#.000")&amp;"*"</f>
        <v>$32.914*</v>
      </c>
      <c r="L8" s="40"/>
      <c r="M8" s="40"/>
      <c r="P8" s="85" t="s">
        <v>149</v>
      </c>
      <c r="Q8" s="86" t="str">
        <f>D8</f>
        <v>52917C</v>
      </c>
      <c r="R8" s="85" t="str">
        <f t="shared" ref="R8:R11" si="1">F8</f>
        <v>Water Distribution Operator Trainee</v>
      </c>
      <c r="S8" s="90" t="str">
        <f>E8</f>
        <v>04</v>
      </c>
      <c r="T8" s="91">
        <f>VLOOKUP($Q8,DataJan26,4,0)*BaseIncPerc26</f>
        <v>29.257090029720739</v>
      </c>
      <c r="U8" s="91">
        <f>VLOOKUP($Q8,DataJan26,5,0)*BaseIncPerc26</f>
        <v>32.914226283435831</v>
      </c>
      <c r="V8" s="91"/>
      <c r="W8" s="91"/>
      <c r="X8" s="86"/>
      <c r="Z8" s="94" t="str">
        <f t="shared" ref="Z8:AB10" si="2">Q8</f>
        <v>52917C</v>
      </c>
      <c r="AA8" s="94" t="str">
        <f t="shared" si="2"/>
        <v>Water Distribution Operator Trainee</v>
      </c>
      <c r="AB8" s="98" t="str">
        <f t="shared" si="2"/>
        <v>04</v>
      </c>
      <c r="AC8" s="99">
        <f t="shared" ref="AC8:AG11" si="3">ROUND(T8,3)</f>
        <v>29.257000000000001</v>
      </c>
      <c r="AD8" s="99">
        <f t="shared" si="3"/>
        <v>32.914000000000001</v>
      </c>
      <c r="AE8" s="99"/>
      <c r="AF8" s="99"/>
      <c r="AG8" s="94"/>
    </row>
    <row r="9" spans="2:33" x14ac:dyDescent="0.25">
      <c r="B9" s="11" t="s">
        <v>8</v>
      </c>
      <c r="C9" s="11">
        <v>2</v>
      </c>
      <c r="D9" s="80" t="s">
        <v>90</v>
      </c>
      <c r="E9" s="61" t="s">
        <v>21</v>
      </c>
      <c r="F9" s="6" t="s">
        <v>56</v>
      </c>
      <c r="G9" s="3">
        <v>295</v>
      </c>
      <c r="H9" s="3">
        <v>6</v>
      </c>
      <c r="I9" s="3" t="s">
        <v>12</v>
      </c>
      <c r="J9" s="50">
        <f t="shared" si="0"/>
        <v>36.592161416318959</v>
      </c>
      <c r="K9" s="50">
        <f t="shared" si="0"/>
        <v>38.404495241951174</v>
      </c>
      <c r="L9" s="50">
        <f t="shared" si="0"/>
        <v>40.309697105232232</v>
      </c>
      <c r="M9" s="50">
        <f t="shared" si="0"/>
        <v>42.316470559999999</v>
      </c>
      <c r="N9" s="50">
        <f t="shared" si="0"/>
        <v>44.397899010159378</v>
      </c>
      <c r="O9" s="58"/>
      <c r="P9" s="85" t="s">
        <v>149</v>
      </c>
      <c r="Q9" s="86" t="str">
        <f>D9</f>
        <v>52938C</v>
      </c>
      <c r="R9" s="85" t="str">
        <f t="shared" si="1"/>
        <v>Water Distribution Operator</v>
      </c>
      <c r="S9" s="90" t="str">
        <f>E9</f>
        <v>01</v>
      </c>
      <c r="T9" s="91">
        <f>VLOOKUP($Q9,DataJan26,4,0)*BaseIncPerc26</f>
        <v>36.592161416318959</v>
      </c>
      <c r="U9" s="91">
        <f>VLOOKUP($Q9,DataJan26,5,0)*BaseIncPerc26</f>
        <v>38.404495241951174</v>
      </c>
      <c r="V9" s="91">
        <f>VLOOKUP($Q9,DataJan26,6,0)*BaseIncPerc26</f>
        <v>40.309697105232232</v>
      </c>
      <c r="W9" s="91">
        <f>VLOOKUP($Q9,DataJan26,7,0)*BaseIncPerc26</f>
        <v>42.316470559999999</v>
      </c>
      <c r="X9" s="125">
        <v>44.397899010159378</v>
      </c>
      <c r="Z9" s="94" t="str">
        <f t="shared" si="2"/>
        <v>52938C</v>
      </c>
      <c r="AA9" s="94" t="str">
        <f t="shared" si="2"/>
        <v>Water Distribution Operator</v>
      </c>
      <c r="AB9" s="98" t="str">
        <f t="shared" si="2"/>
        <v>01</v>
      </c>
      <c r="AC9" s="99">
        <f t="shared" si="3"/>
        <v>36.591999999999999</v>
      </c>
      <c r="AD9" s="99">
        <f t="shared" si="3"/>
        <v>38.404000000000003</v>
      </c>
      <c r="AE9" s="99">
        <f t="shared" si="3"/>
        <v>40.31</v>
      </c>
      <c r="AF9" s="99">
        <f t="shared" si="3"/>
        <v>42.316000000000003</v>
      </c>
      <c r="AG9" s="131">
        <f t="shared" si="3"/>
        <v>44.398000000000003</v>
      </c>
    </row>
    <row r="10" spans="2:33" x14ac:dyDescent="0.25">
      <c r="B10" s="11" t="s">
        <v>8</v>
      </c>
      <c r="C10" s="11">
        <v>2</v>
      </c>
      <c r="D10" s="80" t="s">
        <v>188</v>
      </c>
      <c r="E10" s="61" t="s">
        <v>189</v>
      </c>
      <c r="F10" s="6" t="s">
        <v>190</v>
      </c>
      <c r="G10" s="3">
        <v>345</v>
      </c>
      <c r="H10" s="3">
        <v>7</v>
      </c>
      <c r="I10" s="3" t="s">
        <v>12</v>
      </c>
      <c r="J10" s="50">
        <f t="shared" ca="1" si="0"/>
        <v>39.007968399399992</v>
      </c>
      <c r="K10" s="50">
        <f t="shared" ca="1" si="0"/>
        <v>41.061899196499994</v>
      </c>
      <c r="L10" s="50">
        <f t="shared" ca="1" si="0"/>
        <v>43.222817164799999</v>
      </c>
      <c r="M10" s="50">
        <f t="shared" ca="1" si="0"/>
        <v>45.497409002499992</v>
      </c>
      <c r="N10" s="50">
        <f t="shared" si="0"/>
        <v>47.86447926168411</v>
      </c>
      <c r="O10" s="58"/>
      <c r="P10" s="85" t="s">
        <v>149</v>
      </c>
      <c r="Q10" s="86" t="s">
        <v>188</v>
      </c>
      <c r="R10" s="85" t="str">
        <f t="shared" si="1"/>
        <v>Water Loss &amp; Service Connection Inspector</v>
      </c>
      <c r="S10" s="90" t="str">
        <f>E10</f>
        <v>10</v>
      </c>
      <c r="T10" s="91">
        <f ca="1">VLOOKUP($Q10,DataJan26,4,0)*BaseIncPerc26</f>
        <v>39.007968399399992</v>
      </c>
      <c r="U10" s="91">
        <f ca="1">VLOOKUP($Q10,DataJan26,5,0)*BaseIncPerc26</f>
        <v>41.061899196499994</v>
      </c>
      <c r="V10" s="91">
        <f ca="1">VLOOKUP($Q10,DataJan26,6,0)*BaseIncPerc26</f>
        <v>43.222817164799999</v>
      </c>
      <c r="W10" s="91">
        <f ca="1">VLOOKUP($Q10,DataJan26,7,0)*BaseIncPerc26</f>
        <v>45.497409002499992</v>
      </c>
      <c r="X10" s="130">
        <v>47.86447926168411</v>
      </c>
      <c r="Z10" s="94" t="s">
        <v>188</v>
      </c>
      <c r="AA10" s="94" t="str">
        <f t="shared" si="2"/>
        <v>Water Loss &amp; Service Connection Inspector</v>
      </c>
      <c r="AB10" s="98" t="str">
        <f t="shared" si="2"/>
        <v>10</v>
      </c>
      <c r="AC10" s="99">
        <f t="shared" ca="1" si="3"/>
        <v>39.008000000000003</v>
      </c>
      <c r="AD10" s="99">
        <f t="shared" ca="1" si="3"/>
        <v>41.061999999999998</v>
      </c>
      <c r="AE10" s="99">
        <f t="shared" ca="1" si="3"/>
        <v>43.222999999999999</v>
      </c>
      <c r="AF10" s="99">
        <f t="shared" ca="1" si="3"/>
        <v>45.497</v>
      </c>
      <c r="AG10" s="131">
        <f t="shared" si="3"/>
        <v>47.863999999999997</v>
      </c>
    </row>
    <row r="11" spans="2:33" x14ac:dyDescent="0.25">
      <c r="B11" s="55" t="s">
        <v>8</v>
      </c>
      <c r="C11" s="55">
        <v>2</v>
      </c>
      <c r="D11" s="81" t="s">
        <v>91</v>
      </c>
      <c r="E11" s="63" t="s">
        <v>92</v>
      </c>
      <c r="F11" s="56" t="s">
        <v>57</v>
      </c>
      <c r="G11" s="57">
        <v>340</v>
      </c>
      <c r="H11" s="57">
        <v>7</v>
      </c>
      <c r="I11" s="57" t="s">
        <v>12</v>
      </c>
      <c r="J11" s="59">
        <f t="shared" si="0"/>
        <v>39.023615492943534</v>
      </c>
      <c r="K11" s="59">
        <f t="shared" si="0"/>
        <v>40.880976245920642</v>
      </c>
      <c r="L11" s="59">
        <f t="shared" si="0"/>
        <v>42.828390853587543</v>
      </c>
      <c r="M11" s="59">
        <f t="shared" si="0"/>
        <v>44.868673498903291</v>
      </c>
      <c r="N11" s="59">
        <f t="shared" si="0"/>
        <v>46.979434099282905</v>
      </c>
      <c r="P11" s="85" t="s">
        <v>149</v>
      </c>
      <c r="Q11" s="86" t="str">
        <f>D11</f>
        <v>52939C</v>
      </c>
      <c r="R11" s="85" t="str">
        <f t="shared" si="1"/>
        <v>Senior Water Distribution Operator</v>
      </c>
      <c r="S11" s="90" t="str">
        <f>E11</f>
        <v>02</v>
      </c>
      <c r="T11" s="91">
        <f>VLOOKUP($Q11,DataJan26,4,0)*BaseIncPerc26</f>
        <v>39.023615492943534</v>
      </c>
      <c r="U11" s="91">
        <f>VLOOKUP($Q11,DataJan26,5,0)*BaseIncPerc26</f>
        <v>40.880976245920642</v>
      </c>
      <c r="V11" s="91">
        <f>VLOOKUP($Q11,DataJan26,6,0)*BaseIncPerc26</f>
        <v>42.828390853587543</v>
      </c>
      <c r="W11" s="91">
        <f>VLOOKUP($Q11,DataJan26,7,0)*BaseIncPerc26</f>
        <v>44.868673498903291</v>
      </c>
      <c r="X11" s="130">
        <v>46.979434099282905</v>
      </c>
      <c r="Z11" s="94" t="str">
        <f t="shared" ref="Z11:AB11" si="4">Q11</f>
        <v>52939C</v>
      </c>
      <c r="AA11" s="94" t="str">
        <f t="shared" si="4"/>
        <v>Senior Water Distribution Operator</v>
      </c>
      <c r="AB11" s="98" t="str">
        <f t="shared" si="4"/>
        <v>02</v>
      </c>
      <c r="AC11" s="99">
        <f t="shared" si="3"/>
        <v>39.024000000000001</v>
      </c>
      <c r="AD11" s="99">
        <f t="shared" si="3"/>
        <v>40.881</v>
      </c>
      <c r="AE11" s="99">
        <f t="shared" si="3"/>
        <v>42.828000000000003</v>
      </c>
      <c r="AF11" s="99">
        <f t="shared" si="3"/>
        <v>44.869</v>
      </c>
      <c r="AG11" s="131">
        <f t="shared" si="3"/>
        <v>46.978999999999999</v>
      </c>
    </row>
    <row r="12" spans="2:33" x14ac:dyDescent="0.25">
      <c r="B12" s="132" t="s">
        <v>161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X12" s="86"/>
      <c r="AG12" s="94"/>
    </row>
    <row r="13" spans="2:33" x14ac:dyDescent="0.25">
      <c r="B13" s="11"/>
      <c r="C13" s="11"/>
      <c r="D13" s="12"/>
      <c r="E13" s="66"/>
      <c r="F13" s="6"/>
      <c r="G13" s="3"/>
      <c r="H13" s="3"/>
      <c r="I13" s="3"/>
      <c r="J13" s="40"/>
      <c r="K13" s="40"/>
      <c r="L13" s="40"/>
      <c r="M13" s="40"/>
      <c r="X13" s="86"/>
      <c r="AG13" s="94"/>
    </row>
    <row r="14" spans="2:33" x14ac:dyDescent="0.25">
      <c r="B14" s="17" t="s">
        <v>26</v>
      </c>
      <c r="C14" s="2"/>
      <c r="D14" s="2"/>
      <c r="E14" s="64"/>
      <c r="F14" s="17"/>
      <c r="G14" s="2"/>
      <c r="H14" s="2"/>
      <c r="I14" s="2"/>
      <c r="J14" s="2"/>
      <c r="K14" s="2"/>
      <c r="L14" s="2"/>
      <c r="M14" s="2"/>
      <c r="X14" s="86"/>
      <c r="AG14" s="94"/>
    </row>
    <row r="15" spans="2:33" x14ac:dyDescent="0.25">
      <c r="B15" s="18" t="s">
        <v>27</v>
      </c>
      <c r="C15" s="19"/>
      <c r="D15" s="19"/>
      <c r="E15" s="67"/>
      <c r="F15" s="19"/>
      <c r="G15" s="19"/>
      <c r="H15" s="19"/>
      <c r="I15" s="19"/>
      <c r="J15" s="80"/>
      <c r="K15" s="80"/>
      <c r="L15" s="80"/>
      <c r="M15" s="80"/>
      <c r="X15" s="86"/>
      <c r="AG15" s="94"/>
    </row>
    <row r="16" spans="2:33" x14ac:dyDescent="0.25">
      <c r="B16" s="18" t="s">
        <v>28</v>
      </c>
      <c r="C16" s="19"/>
      <c r="D16" s="19"/>
      <c r="E16" s="67"/>
      <c r="F16" s="19"/>
      <c r="G16" s="19"/>
      <c r="H16" s="19"/>
      <c r="I16" s="19"/>
      <c r="J16" s="80"/>
      <c r="K16" s="80"/>
      <c r="L16" s="82"/>
      <c r="M16" s="80"/>
      <c r="X16" s="86"/>
      <c r="Z16" s="94" t="s">
        <v>26</v>
      </c>
      <c r="AG16" s="94"/>
    </row>
    <row r="17" spans="1:33" x14ac:dyDescent="0.25">
      <c r="B17" s="20">
        <f ca="1">T17</f>
        <v>0.40010340330929711</v>
      </c>
      <c r="C17" s="18" t="s">
        <v>29</v>
      </c>
      <c r="E17" s="68"/>
      <c r="F17" s="19"/>
      <c r="G17" s="19"/>
      <c r="H17" s="19"/>
      <c r="I17" s="21"/>
      <c r="J17" s="21"/>
      <c r="K17" s="16"/>
      <c r="L17" s="21"/>
      <c r="M17" s="49"/>
      <c r="P17" s="85" t="s">
        <v>149</v>
      </c>
      <c r="Q17" s="86" t="s">
        <v>127</v>
      </c>
      <c r="T17" s="91">
        <f ca="1">VLOOKUP($Q17,DataJan26,4,0)*BaseIncPerc26</f>
        <v>0.40010340330929711</v>
      </c>
      <c r="X17" s="86"/>
      <c r="Z17" s="94" t="str">
        <f>Q17</f>
        <v>Year 10</v>
      </c>
      <c r="AC17" s="99">
        <f t="shared" ref="AC17:AC20" ca="1" si="5">ROUND(T17,3)</f>
        <v>0.4</v>
      </c>
      <c r="AG17" s="94"/>
    </row>
    <row r="18" spans="1:33" x14ac:dyDescent="0.25">
      <c r="B18" s="20">
        <f t="shared" ref="B18:B20" ca="1" si="6">T18</f>
        <v>0.56038947619467294</v>
      </c>
      <c r="C18" s="18" t="s">
        <v>30</v>
      </c>
      <c r="E18" s="68"/>
      <c r="F18" s="19"/>
      <c r="G18" s="19"/>
      <c r="H18" s="19"/>
      <c r="I18" s="21"/>
      <c r="J18" s="21"/>
      <c r="K18" s="16"/>
      <c r="L18" s="21"/>
      <c r="M18" s="49"/>
      <c r="P18" s="85" t="s">
        <v>149</v>
      </c>
      <c r="Q18" s="86" t="s">
        <v>128</v>
      </c>
      <c r="T18" s="91">
        <f ca="1">VLOOKUP($Q18,DataJan26,4,0)*BaseIncPerc26</f>
        <v>0.56038947619467294</v>
      </c>
      <c r="X18" s="86"/>
      <c r="Z18" s="94" t="str">
        <f t="shared" ref="Z18:Z20" si="7">Q18</f>
        <v>Year 15</v>
      </c>
      <c r="AC18" s="99">
        <f t="shared" ca="1" si="5"/>
        <v>0.56000000000000005</v>
      </c>
      <c r="AG18" s="94"/>
    </row>
    <row r="19" spans="1:33" x14ac:dyDescent="0.25">
      <c r="B19" s="20">
        <f t="shared" ca="1" si="6"/>
        <v>0.67907458359834827</v>
      </c>
      <c r="C19" s="18" t="s">
        <v>31</v>
      </c>
      <c r="E19" s="68"/>
      <c r="F19" s="19"/>
      <c r="G19" s="19"/>
      <c r="H19" s="19"/>
      <c r="I19" s="21"/>
      <c r="J19" s="21"/>
      <c r="K19" s="16"/>
      <c r="L19" s="2"/>
      <c r="M19" s="49"/>
      <c r="P19" s="85" t="s">
        <v>149</v>
      </c>
      <c r="Q19" s="86" t="s">
        <v>129</v>
      </c>
      <c r="T19" s="91">
        <f ca="1">VLOOKUP($Q19,DataJan26,4,0)*BaseIncPerc26</f>
        <v>0.67907458359834827</v>
      </c>
      <c r="X19" s="86"/>
      <c r="Z19" s="94" t="str">
        <f t="shared" si="7"/>
        <v>Year 20</v>
      </c>
      <c r="AC19" s="99">
        <f t="shared" ca="1" si="5"/>
        <v>0.67900000000000005</v>
      </c>
      <c r="AG19" s="94"/>
    </row>
    <row r="20" spans="1:33" x14ac:dyDescent="0.25">
      <c r="B20" s="20">
        <f t="shared" ca="1" si="6"/>
        <v>0.79653613319373828</v>
      </c>
      <c r="C20" s="18" t="s">
        <v>32</v>
      </c>
      <c r="E20" s="67"/>
      <c r="F20" s="19"/>
      <c r="G20" s="19"/>
      <c r="H20" s="19"/>
      <c r="I20" s="21"/>
      <c r="J20" s="21"/>
      <c r="K20" s="16"/>
      <c r="L20" s="21"/>
      <c r="M20" s="49"/>
      <c r="P20" s="85" t="s">
        <v>149</v>
      </c>
      <c r="Q20" s="86" t="s">
        <v>130</v>
      </c>
      <c r="T20" s="91">
        <f ca="1">VLOOKUP($Q20,DataJan26,4,0)*BaseIncPerc26</f>
        <v>0.79653613319373828</v>
      </c>
      <c r="X20" s="86"/>
      <c r="Z20" s="94" t="str">
        <f t="shared" si="7"/>
        <v>Year 25</v>
      </c>
      <c r="AC20" s="99">
        <f t="shared" ca="1" si="5"/>
        <v>0.79700000000000004</v>
      </c>
      <c r="AG20" s="94"/>
    </row>
    <row r="21" spans="1:33" x14ac:dyDescent="0.25">
      <c r="B21" s="17"/>
      <c r="C21" s="2"/>
      <c r="D21" s="2"/>
      <c r="E21" s="64"/>
      <c r="F21" s="17"/>
      <c r="G21" s="2"/>
      <c r="H21" s="2"/>
      <c r="I21" s="2"/>
      <c r="K21" s="2"/>
      <c r="L21" s="2"/>
      <c r="M21" s="2"/>
      <c r="X21" s="86"/>
      <c r="AG21" s="94"/>
    </row>
    <row r="22" spans="1:33" x14ac:dyDescent="0.25">
      <c r="B22" s="23" t="s">
        <v>33</v>
      </c>
      <c r="C22" s="21"/>
      <c r="D22" s="21"/>
      <c r="E22" s="69"/>
      <c r="F22" s="21"/>
      <c r="G22" s="21"/>
      <c r="H22" s="21"/>
      <c r="I22" s="21"/>
      <c r="J22" s="21"/>
      <c r="K22" s="21"/>
      <c r="L22" s="21"/>
      <c r="M22" s="21"/>
      <c r="X22" s="86"/>
      <c r="AG22" s="94"/>
    </row>
    <row r="23" spans="1:33" x14ac:dyDescent="0.25">
      <c r="B23" s="18" t="s">
        <v>58</v>
      </c>
      <c r="C23" s="19"/>
      <c r="D23" s="19"/>
      <c r="E23" s="67"/>
      <c r="F23" s="19"/>
      <c r="G23" s="19"/>
      <c r="H23" s="19"/>
      <c r="I23" s="19"/>
      <c r="J23" s="21"/>
      <c r="K23" s="21"/>
      <c r="L23" s="21"/>
      <c r="M23" s="21"/>
      <c r="X23" s="86"/>
      <c r="AG23" s="94"/>
    </row>
    <row r="24" spans="1:33" x14ac:dyDescent="0.25">
      <c r="B24" s="18" t="str">
        <f>"effective 1/1/2023, the safety shoe rate was increased from $0.070 to "&amp;TEXT(T24,"$0.000")&amp;" per hour"</f>
        <v>effective 1/1/2023, the safety shoe rate was increased from $0.070 to $0.103 per hour</v>
      </c>
      <c r="C24" s="19"/>
      <c r="D24" s="19"/>
      <c r="E24" s="67"/>
      <c r="F24" s="19"/>
      <c r="G24" s="74"/>
      <c r="H24" s="19"/>
      <c r="I24" s="19"/>
      <c r="J24" s="21"/>
      <c r="K24" s="21"/>
      <c r="L24" s="21"/>
      <c r="M24" s="21"/>
      <c r="P24" s="85" t="s">
        <v>8</v>
      </c>
      <c r="Q24" s="86" t="s">
        <v>33</v>
      </c>
      <c r="T24" s="91">
        <f>VLOOKUP($Q24,DataJan26,4,0)*BaseIncPerc26</f>
        <v>0.10300000000000001</v>
      </c>
      <c r="X24" s="86"/>
      <c r="Z24" s="94" t="str">
        <f t="shared" ref="Z24" si="8">Q24</f>
        <v>Safety Shoes</v>
      </c>
      <c r="AC24" s="99">
        <f t="shared" ref="AC24" si="9">ROUND(T24,3)</f>
        <v>0.10299999999999999</v>
      </c>
      <c r="AG24" s="94"/>
    </row>
    <row r="25" spans="1:33" x14ac:dyDescent="0.25">
      <c r="B25" s="18"/>
      <c r="C25" s="19"/>
      <c r="D25" s="19"/>
      <c r="E25" s="67"/>
      <c r="F25" s="19"/>
      <c r="G25" s="19"/>
      <c r="H25" s="19"/>
      <c r="I25" s="19"/>
      <c r="J25" s="21"/>
      <c r="K25" s="21"/>
      <c r="L25" s="21"/>
      <c r="M25" s="21"/>
      <c r="T25" s="91"/>
      <c r="X25" s="86"/>
      <c r="AG25" s="94"/>
    </row>
    <row r="26" spans="1:33" s="26" customFormat="1" x14ac:dyDescent="0.25">
      <c r="B26" s="26" t="s">
        <v>160</v>
      </c>
      <c r="E26" s="70"/>
      <c r="P26" s="92"/>
      <c r="Q26" s="93"/>
      <c r="R26" s="92"/>
      <c r="S26" s="93"/>
      <c r="T26" s="91"/>
      <c r="U26" s="93"/>
      <c r="V26" s="93"/>
      <c r="W26" s="93"/>
      <c r="X26" s="86"/>
      <c r="Y26" s="126"/>
      <c r="Z26" s="100"/>
      <c r="AA26" s="100"/>
      <c r="AB26" s="100"/>
      <c r="AC26" s="113"/>
      <c r="AD26" s="100"/>
      <c r="AE26" s="100"/>
      <c r="AF26" s="100"/>
      <c r="AG26" s="94"/>
    </row>
    <row r="27" spans="1:33" x14ac:dyDescent="0.25">
      <c r="B27" s="4" t="s">
        <v>168</v>
      </c>
      <c r="T27" s="91"/>
      <c r="X27" s="86"/>
      <c r="AG27" s="94"/>
    </row>
    <row r="28" spans="1:33" x14ac:dyDescent="0.25">
      <c r="A28" t="s">
        <v>124</v>
      </c>
      <c r="B28" s="20">
        <f t="shared" ref="B28:B30" ca="1" si="10">T28</f>
        <v>0.70476929757233975</v>
      </c>
      <c r="C28" s="4" t="s">
        <v>169</v>
      </c>
      <c r="M28" s="21"/>
      <c r="P28" s="85" t="s">
        <v>149</v>
      </c>
      <c r="Q28" s="86" t="s">
        <v>124</v>
      </c>
      <c r="R28" s="85" t="s">
        <v>136</v>
      </c>
      <c r="T28" s="91">
        <f ca="1">VLOOKUP($Q28,DataJan26,4,0)*BaseIncPerc26</f>
        <v>0.70476929757233975</v>
      </c>
      <c r="X28" s="86"/>
      <c r="Z28" s="94" t="str">
        <f t="shared" ref="Z28:AA30" si="11">Q28</f>
        <v>CAWWOC</v>
      </c>
      <c r="AA28" s="94" t="str">
        <f t="shared" si="11"/>
        <v>Water Operator Certification-C</v>
      </c>
      <c r="AC28" s="99">
        <f t="shared" ref="AC28:AC30" ca="1" si="12">ROUND(T28,3)</f>
        <v>0.70499999999999996</v>
      </c>
      <c r="AG28" s="94"/>
    </row>
    <row r="29" spans="1:33" x14ac:dyDescent="0.25">
      <c r="A29" t="s">
        <v>123</v>
      </c>
      <c r="B29" s="20">
        <f t="shared" ca="1" si="10"/>
        <v>1.0632717353999364</v>
      </c>
      <c r="C29" s="4" t="s">
        <v>48</v>
      </c>
      <c r="M29" s="21"/>
      <c r="P29" s="85" t="s">
        <v>149</v>
      </c>
      <c r="Q29" s="86" t="s">
        <v>123</v>
      </c>
      <c r="R29" s="85" t="s">
        <v>137</v>
      </c>
      <c r="T29" s="91">
        <f ca="1">VLOOKUP($Q29,DataJan26,4,0)*BaseIncPerc26</f>
        <v>1.0632717353999364</v>
      </c>
      <c r="X29" s="86"/>
      <c r="Z29" s="94" t="str">
        <f t="shared" si="11"/>
        <v>CAWWOB</v>
      </c>
      <c r="AA29" s="94" t="str">
        <f t="shared" si="11"/>
        <v>Water Operator Certification-B</v>
      </c>
      <c r="AC29" s="99">
        <f t="shared" ca="1" si="12"/>
        <v>1.0629999999999999</v>
      </c>
      <c r="AG29" s="94"/>
    </row>
    <row r="30" spans="1:33" x14ac:dyDescent="0.25">
      <c r="A30" t="s">
        <v>122</v>
      </c>
      <c r="B30" s="20">
        <f t="shared" ca="1" si="10"/>
        <v>1.4217741732275326</v>
      </c>
      <c r="C30" s="4" t="s">
        <v>49</v>
      </c>
      <c r="M30" s="21"/>
      <c r="P30" s="85" t="s">
        <v>149</v>
      </c>
      <c r="Q30" s="86" t="s">
        <v>122</v>
      </c>
      <c r="R30" s="85" t="s">
        <v>138</v>
      </c>
      <c r="T30" s="91">
        <f ca="1">VLOOKUP($Q30,DataJan26,4,0)*BaseIncPerc26</f>
        <v>1.4217741732275326</v>
      </c>
      <c r="X30" s="86"/>
      <c r="Z30" s="94" t="str">
        <f t="shared" si="11"/>
        <v>CAWWOA</v>
      </c>
      <c r="AA30" s="94" t="str">
        <f t="shared" si="11"/>
        <v>Water Operator Certification-A</v>
      </c>
      <c r="AC30" s="99">
        <f t="shared" ca="1" si="12"/>
        <v>1.4219999999999999</v>
      </c>
      <c r="AG30" s="94"/>
    </row>
    <row r="31" spans="1:33" x14ac:dyDescent="0.25">
      <c r="T31" s="91"/>
      <c r="X31" s="86"/>
      <c r="AG31" s="94"/>
    </row>
    <row r="32" spans="1:33" x14ac:dyDescent="0.25">
      <c r="B32" s="24" t="s">
        <v>170</v>
      </c>
      <c r="C32" s="27"/>
      <c r="D32" s="27"/>
      <c r="E32" s="72"/>
      <c r="F32" s="29"/>
      <c r="G32" s="29"/>
      <c r="H32" s="29"/>
      <c r="I32" s="29"/>
      <c r="J32" s="29"/>
      <c r="K32" s="29"/>
      <c r="L32" s="29"/>
      <c r="M32" s="29"/>
      <c r="T32" s="91"/>
      <c r="X32" s="86"/>
      <c r="AG32" s="94"/>
    </row>
    <row r="33" spans="1:33" x14ac:dyDescent="0.25">
      <c r="B33" s="20">
        <f t="shared" ref="B33" ca="1" si="13">T33</f>
        <v>1.0268335870117322</v>
      </c>
      <c r="C33" s="37" t="s">
        <v>106</v>
      </c>
      <c r="D33" s="37" t="s">
        <v>172</v>
      </c>
      <c r="E33" s="73"/>
      <c r="F33" s="33"/>
      <c r="G33" s="33"/>
      <c r="H33" s="33"/>
      <c r="I33" s="33"/>
      <c r="J33" s="33"/>
      <c r="K33" s="29"/>
      <c r="L33" s="29"/>
      <c r="M33" s="29"/>
      <c r="P33" s="85" t="s">
        <v>149</v>
      </c>
      <c r="Q33" s="86" t="s">
        <v>125</v>
      </c>
      <c r="R33" s="85" t="s">
        <v>139</v>
      </c>
      <c r="T33" s="91">
        <f ca="1">VLOOKUP($Q33,DataJan26,4,0)*BaseIncPerc26</f>
        <v>1.0268335870117322</v>
      </c>
      <c r="X33" s="86"/>
      <c r="Z33" s="94" t="str">
        <f t="shared" ref="Z33:AA35" si="14">Q33</f>
        <v>CAWEVE</v>
      </c>
      <c r="AA33" s="94" t="str">
        <f t="shared" si="14"/>
        <v>TL-Afternoon Shift Premium-CAW</v>
      </c>
      <c r="AC33" s="99">
        <f t="shared" ref="AC33:AC35" ca="1" si="15">ROUND(T33,3)</f>
        <v>1.0269999999999999</v>
      </c>
      <c r="AG33" s="94"/>
    </row>
    <row r="34" spans="1:33" x14ac:dyDescent="0.25">
      <c r="B34" s="30"/>
      <c r="C34" s="37"/>
      <c r="D34" s="37" t="s">
        <v>171</v>
      </c>
      <c r="E34" s="73"/>
      <c r="F34" s="33"/>
      <c r="G34" s="33"/>
      <c r="H34" s="33"/>
      <c r="I34" s="33"/>
      <c r="J34" s="33"/>
      <c r="K34" s="29"/>
      <c r="L34" s="29"/>
      <c r="M34" s="29"/>
      <c r="P34" s="85" t="s">
        <v>149</v>
      </c>
      <c r="Q34" s="86" t="s">
        <v>154</v>
      </c>
      <c r="R34" s="85" t="s">
        <v>163</v>
      </c>
      <c r="T34" s="91">
        <f ca="1">VLOOKUP($Q34,DataJan26,4,0)*BaseIncPerc26</f>
        <v>1.0268335870117322</v>
      </c>
      <c r="X34" s="86"/>
      <c r="Z34" s="94" t="str">
        <f t="shared" si="14"/>
        <v>CAWWKE</v>
      </c>
      <c r="AA34" s="94" t="str">
        <f t="shared" si="14"/>
        <v>Weekend shift-CAW</v>
      </c>
      <c r="AC34" s="99">
        <f t="shared" ca="1" si="15"/>
        <v>1.0269999999999999</v>
      </c>
      <c r="AG34" s="94"/>
    </row>
    <row r="35" spans="1:33" x14ac:dyDescent="0.25">
      <c r="B35" s="20">
        <f t="shared" ref="B35" ca="1" si="16">T35</f>
        <v>1.5313131860142752</v>
      </c>
      <c r="C35" s="37" t="s">
        <v>106</v>
      </c>
      <c r="D35" s="37" t="s">
        <v>185</v>
      </c>
      <c r="E35" s="73"/>
      <c r="F35" s="33"/>
      <c r="G35" s="33"/>
      <c r="H35" s="33"/>
      <c r="I35" s="33"/>
      <c r="J35" s="33"/>
      <c r="K35" s="29"/>
      <c r="L35" s="29"/>
      <c r="M35" s="29"/>
      <c r="P35" s="85" t="s">
        <v>149</v>
      </c>
      <c r="Q35" s="86" t="s">
        <v>126</v>
      </c>
      <c r="R35" s="85" t="s">
        <v>140</v>
      </c>
      <c r="T35" s="91">
        <f ca="1">VLOOKUP($Q35,DataJan26,4,0)*BaseIncPerc26</f>
        <v>1.5313131860142752</v>
      </c>
      <c r="X35" s="86"/>
      <c r="Z35" s="94" t="str">
        <f t="shared" si="14"/>
        <v>CAWNIT</v>
      </c>
      <c r="AA35" s="94" t="str">
        <f t="shared" si="14"/>
        <v>TL-Night Shift Premium-CPL</v>
      </c>
      <c r="AC35" s="99">
        <f t="shared" ca="1" si="15"/>
        <v>1.5309999999999999</v>
      </c>
      <c r="AG35" s="94"/>
    </row>
    <row r="36" spans="1:33" x14ac:dyDescent="0.25">
      <c r="B36" s="30"/>
      <c r="C36" s="31"/>
      <c r="D36" s="31"/>
      <c r="E36" s="73"/>
      <c r="F36" s="33"/>
      <c r="G36" s="33"/>
      <c r="H36" s="33"/>
      <c r="I36" s="33"/>
      <c r="J36" s="33"/>
      <c r="K36" s="29"/>
      <c r="L36" s="29"/>
      <c r="M36" s="29"/>
      <c r="T36" s="91"/>
      <c r="X36" s="86"/>
      <c r="AG36" s="94"/>
    </row>
    <row r="37" spans="1:33" x14ac:dyDescent="0.25">
      <c r="B37" s="103" t="s">
        <v>178</v>
      </c>
      <c r="C37" s="36"/>
      <c r="D37" s="34"/>
      <c r="E37" s="73"/>
      <c r="F37" s="33"/>
      <c r="G37" s="35"/>
      <c r="H37" s="35"/>
      <c r="I37" s="35"/>
      <c r="J37" s="38"/>
      <c r="K37" s="39"/>
      <c r="L37" s="33"/>
      <c r="M37" s="33"/>
      <c r="T37" s="91"/>
      <c r="X37" s="86"/>
      <c r="AG37" s="94"/>
    </row>
    <row r="38" spans="1:33" x14ac:dyDescent="0.25">
      <c r="B38" s="22">
        <f ca="1">T38</f>
        <v>0.9363383489460001</v>
      </c>
      <c r="C38" s="119" t="s">
        <v>106</v>
      </c>
      <c r="D38" s="119" t="s">
        <v>173</v>
      </c>
      <c r="E38" s="73"/>
      <c r="F38" s="33"/>
      <c r="G38" s="35"/>
      <c r="H38" s="35"/>
      <c r="I38" s="35"/>
      <c r="J38" s="38"/>
      <c r="K38" s="39"/>
      <c r="L38" s="33"/>
      <c r="M38" s="33"/>
      <c r="P38" s="85" t="s">
        <v>149</v>
      </c>
      <c r="Q38" s="86" t="s">
        <v>164</v>
      </c>
      <c r="R38" s="85" t="s">
        <v>165</v>
      </c>
      <c r="T38" s="91">
        <f ca="1">VLOOKUP($Q38,DataJan26,4,0)*BaseIncPerc26</f>
        <v>0.9363383489460001</v>
      </c>
      <c r="U38" s="105"/>
      <c r="X38" s="86"/>
      <c r="Z38" s="94" t="str">
        <f>Q38</f>
        <v>CAWGLA</v>
      </c>
      <c r="AA38" s="94" t="str">
        <f t="shared" ref="AA38:AA42" si="17">R38</f>
        <v>Gate Truck Lead Assignment</v>
      </c>
      <c r="AC38" s="99">
        <f t="shared" ref="AC38:AC42" ca="1" si="18">ROUND(T38,3)</f>
        <v>0.93600000000000005</v>
      </c>
      <c r="AG38" s="94"/>
    </row>
    <row r="39" spans="1:33" x14ac:dyDescent="0.25">
      <c r="A39" s="104"/>
      <c r="B39" s="22">
        <f t="shared" ref="B39:B42" ca="1" si="19">T39</f>
        <v>0.44048081098271236</v>
      </c>
      <c r="C39" s="119" t="s">
        <v>106</v>
      </c>
      <c r="D39" s="119" t="s">
        <v>174</v>
      </c>
      <c r="E39" s="73"/>
      <c r="F39" s="33"/>
      <c r="G39" s="35"/>
      <c r="H39" s="35"/>
      <c r="I39" s="35"/>
      <c r="J39" s="38"/>
      <c r="K39" s="39"/>
      <c r="L39" s="33"/>
      <c r="M39" s="33"/>
      <c r="P39" s="85" t="s">
        <v>149</v>
      </c>
      <c r="Q39" s="86" t="s">
        <v>118</v>
      </c>
      <c r="R39" s="85" t="s">
        <v>131</v>
      </c>
      <c r="T39" s="91">
        <f ca="1">VLOOKUP($Q39,DataJan26,4,0)*BaseIncPerc26</f>
        <v>0.44048081098271236</v>
      </c>
      <c r="X39" s="86"/>
      <c r="Z39" s="94" t="str">
        <f>Q39</f>
        <v>CAWGTT</v>
      </c>
      <c r="AA39" s="94" t="str">
        <f t="shared" si="17"/>
        <v>TL-Gate Truck Premium-CAW</v>
      </c>
      <c r="AC39" s="99">
        <f t="shared" ca="1" si="18"/>
        <v>0.44</v>
      </c>
      <c r="AG39" s="94"/>
    </row>
    <row r="40" spans="1:33" x14ac:dyDescent="0.25">
      <c r="A40" s="104"/>
      <c r="B40" s="22">
        <f t="shared" ca="1" si="19"/>
        <v>0.44048081098271236</v>
      </c>
      <c r="C40" s="118" t="s">
        <v>106</v>
      </c>
      <c r="D40" s="118" t="s">
        <v>175</v>
      </c>
      <c r="E40" s="73"/>
      <c r="F40" s="33"/>
      <c r="G40" s="35"/>
      <c r="H40" s="35"/>
      <c r="I40" s="35"/>
      <c r="J40" s="33"/>
      <c r="K40" s="33"/>
      <c r="L40" s="33"/>
      <c r="M40" s="33"/>
      <c r="P40" s="85" t="s">
        <v>149</v>
      </c>
      <c r="Q40" s="86" t="s">
        <v>117</v>
      </c>
      <c r="R40" s="85" t="s">
        <v>156</v>
      </c>
      <c r="T40" s="91">
        <f ca="1">VLOOKUP($Q40,DataJan26,4,0)*BaseIncPerc26</f>
        <v>0.44048081098271236</v>
      </c>
      <c r="X40" s="86"/>
      <c r="Z40" s="94" t="str">
        <f>Q40</f>
        <v>CAWTAP</v>
      </c>
      <c r="AA40" s="94" t="str">
        <f t="shared" si="17"/>
        <v>TL-Lrg &amp; Sml Taper Premium-CAW</v>
      </c>
      <c r="AC40" s="99">
        <f t="shared" ca="1" si="18"/>
        <v>0.44</v>
      </c>
      <c r="AG40" s="94"/>
    </row>
    <row r="41" spans="1:33" x14ac:dyDescent="0.25">
      <c r="A41" s="104" t="s">
        <v>126</v>
      </c>
      <c r="B41" s="22">
        <f t="shared" ca="1" si="19"/>
        <v>1.447468887201524</v>
      </c>
      <c r="C41" s="116" t="s">
        <v>106</v>
      </c>
      <c r="D41" s="117" t="s">
        <v>176</v>
      </c>
      <c r="E41" s="73"/>
      <c r="F41" s="29"/>
      <c r="G41" s="29"/>
      <c r="H41" s="35"/>
      <c r="I41" s="35"/>
      <c r="M41" s="33"/>
      <c r="P41" s="85" t="s">
        <v>149</v>
      </c>
      <c r="Q41" s="86" t="s">
        <v>121</v>
      </c>
      <c r="R41" s="85" t="s">
        <v>135</v>
      </c>
      <c r="T41" s="91">
        <f ca="1">VLOOKUP($Q41,DataJan26,4,0)*BaseIncPerc26</f>
        <v>1.447468887201524</v>
      </c>
      <c r="U41" s="106"/>
      <c r="X41" s="86"/>
      <c r="Z41" s="94" t="str">
        <f>Q41</f>
        <v>CAWRSP</v>
      </c>
      <c r="AA41" s="94" t="str">
        <f t="shared" si="17"/>
        <v>TL-Respirator-CAW</v>
      </c>
      <c r="AC41" s="99">
        <f t="shared" ca="1" si="18"/>
        <v>1.4470000000000001</v>
      </c>
      <c r="AG41" s="94"/>
    </row>
    <row r="42" spans="1:33" x14ac:dyDescent="0.25">
      <c r="A42" s="104"/>
      <c r="B42" s="22">
        <f t="shared" ca="1" si="19"/>
        <v>0.44021877599699993</v>
      </c>
      <c r="C42" s="116" t="s">
        <v>106</v>
      </c>
      <c r="D42" s="118" t="s">
        <v>177</v>
      </c>
      <c r="E42" s="73"/>
      <c r="F42" s="33"/>
      <c r="G42" s="35"/>
      <c r="H42" s="35"/>
      <c r="I42" s="35"/>
      <c r="J42" s="33"/>
      <c r="K42" s="33"/>
      <c r="L42" s="33"/>
      <c r="M42" s="33"/>
      <c r="P42" s="85" t="s">
        <v>149</v>
      </c>
      <c r="Q42" s="86" t="s">
        <v>166</v>
      </c>
      <c r="R42" s="85" t="s">
        <v>167</v>
      </c>
      <c r="T42" s="91">
        <f ca="1">VLOOKUP($Q42,DataJan26,4,0)*BaseIncPerc26</f>
        <v>0.44021877599699993</v>
      </c>
      <c r="X42" s="86"/>
      <c r="Z42" s="94" t="str">
        <f>Q42</f>
        <v>CAWCMT</v>
      </c>
      <c r="AA42" s="94" t="str">
        <f t="shared" si="17"/>
        <v>Commercial Meter Testing (on-site)</v>
      </c>
      <c r="AC42" s="99">
        <f t="shared" ca="1" si="18"/>
        <v>0.44</v>
      </c>
      <c r="AG42" s="94"/>
    </row>
    <row r="43" spans="1:33" x14ac:dyDescent="0.25">
      <c r="A43" s="104"/>
      <c r="B43" s="109"/>
      <c r="D43" s="37"/>
      <c r="E43" s="73"/>
      <c r="F43" s="33"/>
      <c r="G43" s="35"/>
      <c r="H43" s="35"/>
      <c r="I43" s="35"/>
      <c r="J43" s="33"/>
      <c r="K43" s="33"/>
      <c r="L43" s="33"/>
      <c r="M43" s="33"/>
      <c r="Q43" s="85"/>
      <c r="X43" s="86"/>
      <c r="AG43" s="94"/>
    </row>
    <row r="44" spans="1:33" x14ac:dyDescent="0.25">
      <c r="A44" s="104"/>
      <c r="B44" s="110"/>
      <c r="D44" s="37"/>
      <c r="E44" s="73"/>
      <c r="F44" s="33"/>
      <c r="G44" s="35"/>
      <c r="H44" s="35"/>
      <c r="I44" s="35"/>
      <c r="J44" s="33"/>
      <c r="K44" s="33"/>
      <c r="L44" s="33"/>
      <c r="M44" s="33"/>
      <c r="X44" s="86"/>
      <c r="AG44" s="94"/>
    </row>
    <row r="45" spans="1:33" x14ac:dyDescent="0.25">
      <c r="A45" s="104"/>
      <c r="B45" s="111"/>
      <c r="X45" s="86"/>
      <c r="AG45" s="94"/>
    </row>
    <row r="46" spans="1:33" x14ac:dyDescent="0.25">
      <c r="A46" s="104"/>
      <c r="B46" s="104"/>
      <c r="X46" s="86"/>
      <c r="AG46" s="94"/>
    </row>
    <row r="47" spans="1:33" x14ac:dyDescent="0.25">
      <c r="A47" s="104"/>
      <c r="B47" s="108"/>
      <c r="X47" s="86"/>
      <c r="AG47" s="94"/>
    </row>
    <row r="48" spans="1:33" x14ac:dyDescent="0.25">
      <c r="A48" s="104"/>
      <c r="B48" s="111"/>
      <c r="X48" s="86"/>
      <c r="AG48" s="94"/>
    </row>
    <row r="49" spans="1:33" x14ac:dyDescent="0.25">
      <c r="A49" s="104"/>
      <c r="B49" s="111" t="str">
        <f>B5</f>
        <v>Last updated June 8, 2026</v>
      </c>
      <c r="N49" s="4" t="s">
        <v>193</v>
      </c>
      <c r="X49" s="86"/>
      <c r="AG49" s="94"/>
    </row>
    <row r="50" spans="1:33" x14ac:dyDescent="0.25">
      <c r="A50" s="104"/>
      <c r="B50" s="104"/>
      <c r="X50" s="86"/>
      <c r="AG50" s="94"/>
    </row>
    <row r="51" spans="1:33" x14ac:dyDescent="0.25">
      <c r="A51" s="104"/>
      <c r="B51" s="108"/>
      <c r="X51" s="86"/>
      <c r="AG51" s="94"/>
    </row>
    <row r="52" spans="1:33" x14ac:dyDescent="0.25">
      <c r="A52" s="104"/>
      <c r="B52" s="111"/>
      <c r="X52" s="86"/>
      <c r="AG52" s="94"/>
    </row>
    <row r="53" spans="1:33" x14ac:dyDescent="0.25">
      <c r="A53" s="104"/>
      <c r="B53" s="111"/>
      <c r="X53" s="86"/>
      <c r="AG53" s="94"/>
    </row>
    <row r="54" spans="1:33" x14ac:dyDescent="0.25">
      <c r="A54" s="104"/>
      <c r="B54" s="111"/>
      <c r="X54" s="86"/>
      <c r="AG54" s="94"/>
    </row>
    <row r="55" spans="1:33" x14ac:dyDescent="0.25">
      <c r="A55" s="104"/>
      <c r="B55" s="111"/>
      <c r="X55" s="86"/>
      <c r="AG55" s="94"/>
    </row>
    <row r="56" spans="1:33" x14ac:dyDescent="0.25">
      <c r="A56" s="104"/>
      <c r="B56" s="104"/>
      <c r="X56" s="86"/>
      <c r="AG56" s="94"/>
    </row>
    <row r="57" spans="1:33" x14ac:dyDescent="0.25">
      <c r="A57" s="104"/>
      <c r="B57" s="108"/>
      <c r="X57" s="86"/>
      <c r="AG57" s="94"/>
    </row>
    <row r="58" spans="1:33" x14ac:dyDescent="0.25">
      <c r="A58" s="104"/>
      <c r="B58" s="111"/>
      <c r="X58" s="86"/>
      <c r="AG58" s="94"/>
    </row>
    <row r="59" spans="1:33" x14ac:dyDescent="0.25">
      <c r="A59" s="104"/>
      <c r="B59" s="111"/>
      <c r="X59" s="86"/>
      <c r="AG59" s="94"/>
    </row>
    <row r="60" spans="1:33" x14ac:dyDescent="0.25">
      <c r="A60" s="104"/>
      <c r="B60" s="111"/>
      <c r="X60" s="86"/>
      <c r="AG60" s="94"/>
    </row>
    <row r="61" spans="1:33" x14ac:dyDescent="0.25">
      <c r="X61" s="86"/>
      <c r="AG61" s="94"/>
    </row>
    <row r="62" spans="1:33" x14ac:dyDescent="0.25">
      <c r="X62" s="86"/>
      <c r="AG62" s="94"/>
    </row>
    <row r="63" spans="1:33" x14ac:dyDescent="0.25">
      <c r="X63" s="86"/>
      <c r="AG63" s="94"/>
    </row>
    <row r="64" spans="1:33" x14ac:dyDescent="0.25">
      <c r="X64" s="86"/>
      <c r="AG64" s="94"/>
    </row>
    <row r="65" spans="24:33" x14ac:dyDescent="0.25">
      <c r="X65" s="86"/>
      <c r="AG65" s="94"/>
    </row>
    <row r="66" spans="24:33" x14ac:dyDescent="0.25">
      <c r="X66" s="86"/>
      <c r="AG66" s="94"/>
    </row>
    <row r="67" spans="24:33" x14ac:dyDescent="0.25">
      <c r="X67" s="86"/>
      <c r="AG67" s="94"/>
    </row>
    <row r="68" spans="24:33" x14ac:dyDescent="0.25">
      <c r="X68" s="86"/>
      <c r="AG68" s="94"/>
    </row>
    <row r="69" spans="24:33" x14ac:dyDescent="0.25">
      <c r="X69" s="86"/>
      <c r="AG69" s="94"/>
    </row>
    <row r="70" spans="24:33" x14ac:dyDescent="0.25">
      <c r="X70" s="86"/>
      <c r="AG70" s="94"/>
    </row>
    <row r="71" spans="24:33" x14ac:dyDescent="0.25">
      <c r="X71" s="86"/>
      <c r="AG71" s="94"/>
    </row>
    <row r="72" spans="24:33" x14ac:dyDescent="0.25">
      <c r="X72" s="86"/>
      <c r="AG72" s="94"/>
    </row>
    <row r="73" spans="24:33" x14ac:dyDescent="0.25">
      <c r="X73" s="86"/>
      <c r="AG73" s="94"/>
    </row>
    <row r="74" spans="24:33" x14ac:dyDescent="0.25">
      <c r="X74" s="86"/>
      <c r="AG74" s="94"/>
    </row>
    <row r="75" spans="24:33" x14ac:dyDescent="0.25">
      <c r="X75" s="86"/>
      <c r="AG75" s="94"/>
    </row>
    <row r="76" spans="24:33" x14ac:dyDescent="0.25">
      <c r="X76" s="86"/>
      <c r="AG76" s="94"/>
    </row>
    <row r="77" spans="24:33" x14ac:dyDescent="0.25">
      <c r="X77" s="86"/>
      <c r="AG77" s="94"/>
    </row>
    <row r="78" spans="24:33" x14ac:dyDescent="0.25">
      <c r="X78" s="86"/>
      <c r="AG78" s="94"/>
    </row>
    <row r="79" spans="24:33" x14ac:dyDescent="0.25">
      <c r="X79" s="86"/>
      <c r="AG79" s="94"/>
    </row>
    <row r="80" spans="24:33" x14ac:dyDescent="0.25">
      <c r="X80" s="86"/>
      <c r="AG80" s="94"/>
    </row>
    <row r="81" spans="24:33" x14ac:dyDescent="0.25">
      <c r="X81" s="86"/>
      <c r="AG81" s="94"/>
    </row>
    <row r="82" spans="24:33" x14ac:dyDescent="0.25">
      <c r="X82" s="86"/>
      <c r="AG82" s="94"/>
    </row>
    <row r="83" spans="24:33" x14ac:dyDescent="0.25">
      <c r="X83" s="86"/>
      <c r="AG83" s="94"/>
    </row>
    <row r="84" spans="24:33" x14ac:dyDescent="0.25">
      <c r="X84" s="86"/>
      <c r="AG84" s="94"/>
    </row>
    <row r="85" spans="24:33" x14ac:dyDescent="0.25">
      <c r="X85" s="86"/>
      <c r="AG85" s="94"/>
    </row>
    <row r="86" spans="24:33" x14ac:dyDescent="0.25">
      <c r="X86" s="86"/>
      <c r="AG86" s="94"/>
    </row>
    <row r="87" spans="24:33" x14ac:dyDescent="0.25">
      <c r="X87" s="86"/>
      <c r="AG87" s="94"/>
    </row>
    <row r="88" spans="24:33" x14ac:dyDescent="0.25">
      <c r="X88" s="86"/>
      <c r="AG88" s="94"/>
    </row>
    <row r="89" spans="24:33" x14ac:dyDescent="0.25">
      <c r="X89" s="86"/>
      <c r="AG89" s="94"/>
    </row>
    <row r="90" spans="24:33" x14ac:dyDescent="0.25">
      <c r="X90" s="86"/>
      <c r="AG90" s="94"/>
    </row>
    <row r="91" spans="24:33" x14ac:dyDescent="0.25">
      <c r="X91" s="86"/>
      <c r="AG91" s="94"/>
    </row>
    <row r="92" spans="24:33" x14ac:dyDescent="0.25">
      <c r="X92" s="86"/>
      <c r="AG92" s="94"/>
    </row>
    <row r="93" spans="24:33" x14ac:dyDescent="0.25">
      <c r="X93" s="86"/>
      <c r="AG93" s="94"/>
    </row>
    <row r="94" spans="24:33" x14ac:dyDescent="0.25">
      <c r="X94" s="86"/>
      <c r="AG94" s="94"/>
    </row>
    <row r="95" spans="24:33" x14ac:dyDescent="0.25">
      <c r="X95" s="86"/>
      <c r="AG95" s="94"/>
    </row>
    <row r="96" spans="24:33" x14ac:dyDescent="0.25">
      <c r="X96" s="86"/>
      <c r="AG96" s="94"/>
    </row>
    <row r="97" spans="24:33" x14ac:dyDescent="0.25">
      <c r="X97" s="86"/>
      <c r="AG97" s="94"/>
    </row>
    <row r="98" spans="24:33" x14ac:dyDescent="0.25">
      <c r="X98" s="86"/>
      <c r="AG98" s="94"/>
    </row>
    <row r="99" spans="24:33" x14ac:dyDescent="0.25">
      <c r="X99" s="86"/>
      <c r="AG99" s="94"/>
    </row>
    <row r="100" spans="24:33" x14ac:dyDescent="0.25">
      <c r="X100" s="86"/>
      <c r="AG100" s="94"/>
    </row>
    <row r="101" spans="24:33" x14ac:dyDescent="0.25">
      <c r="X101" s="86"/>
      <c r="AG101" s="94"/>
    </row>
    <row r="102" spans="24:33" x14ac:dyDescent="0.25">
      <c r="X102" s="86"/>
      <c r="AG102" s="94"/>
    </row>
    <row r="103" spans="24:33" x14ac:dyDescent="0.25">
      <c r="X103" s="86"/>
      <c r="AG103" s="94"/>
    </row>
    <row r="104" spans="24:33" x14ac:dyDescent="0.25">
      <c r="X104" s="86"/>
      <c r="AG104" s="94"/>
    </row>
    <row r="105" spans="24:33" x14ac:dyDescent="0.25">
      <c r="X105" s="86"/>
      <c r="AG105" s="94"/>
    </row>
    <row r="106" spans="24:33" x14ac:dyDescent="0.25">
      <c r="X106" s="86"/>
      <c r="AG106" s="94"/>
    </row>
    <row r="107" spans="24:33" x14ac:dyDescent="0.25">
      <c r="X107" s="86"/>
      <c r="AG107" s="94"/>
    </row>
    <row r="108" spans="24:33" x14ac:dyDescent="0.25">
      <c r="X108" s="86"/>
      <c r="AG108" s="94"/>
    </row>
    <row r="109" spans="24:33" x14ac:dyDescent="0.25">
      <c r="X109" s="86"/>
      <c r="AG109" s="94"/>
    </row>
    <row r="110" spans="24:33" x14ac:dyDescent="0.25">
      <c r="X110" s="86"/>
      <c r="AG110" s="94"/>
    </row>
    <row r="111" spans="24:33" x14ac:dyDescent="0.25">
      <c r="X111" s="86"/>
      <c r="AG111" s="94"/>
    </row>
    <row r="112" spans="24:33" x14ac:dyDescent="0.25">
      <c r="X112" s="86"/>
      <c r="AG112" s="94"/>
    </row>
    <row r="113" spans="24:33" x14ac:dyDescent="0.25">
      <c r="X113" s="86"/>
      <c r="AG113" s="94"/>
    </row>
    <row r="114" spans="24:33" x14ac:dyDescent="0.25">
      <c r="X114" s="86"/>
      <c r="AG114" s="94"/>
    </row>
    <row r="115" spans="24:33" x14ac:dyDescent="0.25">
      <c r="X115" s="86"/>
      <c r="AG115" s="94"/>
    </row>
    <row r="116" spans="24:33" x14ac:dyDescent="0.25">
      <c r="X116" s="86"/>
      <c r="AG116" s="94"/>
    </row>
    <row r="117" spans="24:33" x14ac:dyDescent="0.25">
      <c r="X117" s="86"/>
      <c r="AG117" s="94"/>
    </row>
    <row r="118" spans="24:33" x14ac:dyDescent="0.25">
      <c r="X118" s="86"/>
      <c r="AG118" s="94"/>
    </row>
    <row r="119" spans="24:33" x14ac:dyDescent="0.25">
      <c r="X119" s="86"/>
      <c r="AG119" s="94"/>
    </row>
    <row r="120" spans="24:33" x14ac:dyDescent="0.25">
      <c r="X120" s="86"/>
      <c r="AG120" s="94"/>
    </row>
    <row r="121" spans="24:33" x14ac:dyDescent="0.25">
      <c r="X121" s="86"/>
      <c r="AG121" s="94"/>
    </row>
    <row r="122" spans="24:33" x14ac:dyDescent="0.25">
      <c r="X122" s="86"/>
      <c r="AG122" s="94"/>
    </row>
    <row r="123" spans="24:33" x14ac:dyDescent="0.25">
      <c r="X123" s="86"/>
      <c r="AG123" s="94"/>
    </row>
    <row r="124" spans="24:33" x14ac:dyDescent="0.25">
      <c r="X124" s="86"/>
      <c r="AG124" s="94"/>
    </row>
    <row r="125" spans="24:33" x14ac:dyDescent="0.25">
      <c r="X125" s="86"/>
      <c r="AG125" s="94"/>
    </row>
    <row r="126" spans="24:33" x14ac:dyDescent="0.25">
      <c r="X126" s="86"/>
      <c r="AG126" s="94"/>
    </row>
    <row r="127" spans="24:33" x14ac:dyDescent="0.25">
      <c r="X127" s="86"/>
      <c r="AG127" s="94"/>
    </row>
    <row r="128" spans="24:33" x14ac:dyDescent="0.25">
      <c r="X128" s="86"/>
      <c r="AG128" s="94"/>
    </row>
    <row r="129" spans="24:33" x14ac:dyDescent="0.25">
      <c r="X129" s="86"/>
      <c r="AG129" s="94"/>
    </row>
    <row r="130" spans="24:33" x14ac:dyDescent="0.25">
      <c r="X130" s="86"/>
      <c r="AG130" s="94"/>
    </row>
    <row r="131" spans="24:33" x14ac:dyDescent="0.25">
      <c r="X131" s="86"/>
      <c r="AG131" s="94"/>
    </row>
    <row r="132" spans="24:33" x14ac:dyDescent="0.25">
      <c r="X132" s="86"/>
      <c r="AG132" s="94"/>
    </row>
    <row r="133" spans="24:33" x14ac:dyDescent="0.25">
      <c r="X133" s="86"/>
      <c r="AG133" s="94"/>
    </row>
    <row r="134" spans="24:33" x14ac:dyDescent="0.25">
      <c r="X134" s="86"/>
      <c r="AG134" s="94"/>
    </row>
    <row r="135" spans="24:33" x14ac:dyDescent="0.25">
      <c r="X135" s="86"/>
      <c r="AG135" s="94"/>
    </row>
    <row r="136" spans="24:33" x14ac:dyDescent="0.25">
      <c r="X136" s="86"/>
      <c r="AG136" s="94"/>
    </row>
    <row r="137" spans="24:33" x14ac:dyDescent="0.25">
      <c r="X137" s="86"/>
      <c r="AG137" s="94"/>
    </row>
    <row r="138" spans="24:33" x14ac:dyDescent="0.25">
      <c r="X138" s="86"/>
      <c r="AG138" s="94"/>
    </row>
    <row r="139" spans="24:33" x14ac:dyDescent="0.25">
      <c r="X139" s="86"/>
      <c r="AG139" s="94"/>
    </row>
    <row r="140" spans="24:33" x14ac:dyDescent="0.25">
      <c r="X140" s="86"/>
      <c r="AG140" s="94"/>
    </row>
    <row r="141" spans="24:33" x14ac:dyDescent="0.25">
      <c r="X141" s="86"/>
      <c r="AG141" s="94"/>
    </row>
    <row r="142" spans="24:33" x14ac:dyDescent="0.25">
      <c r="X142" s="86"/>
      <c r="AG142" s="94"/>
    </row>
    <row r="143" spans="24:33" x14ac:dyDescent="0.25">
      <c r="X143" s="86"/>
      <c r="AG143" s="94"/>
    </row>
    <row r="144" spans="24:33" x14ac:dyDescent="0.25">
      <c r="X144" s="86"/>
      <c r="AG144" s="94"/>
    </row>
    <row r="145" spans="24:33" x14ac:dyDescent="0.25">
      <c r="X145" s="86"/>
      <c r="AG145" s="94"/>
    </row>
    <row r="146" spans="24:33" x14ac:dyDescent="0.25">
      <c r="X146" s="86"/>
      <c r="AG146" s="94"/>
    </row>
    <row r="147" spans="24:33" x14ac:dyDescent="0.25">
      <c r="X147" s="86"/>
      <c r="AG147" s="94"/>
    </row>
    <row r="148" spans="24:33" x14ac:dyDescent="0.25">
      <c r="X148" s="86"/>
      <c r="AG148" s="94"/>
    </row>
    <row r="149" spans="24:33" x14ac:dyDescent="0.25">
      <c r="X149" s="86"/>
      <c r="AG149" s="94"/>
    </row>
    <row r="150" spans="24:33" x14ac:dyDescent="0.25">
      <c r="X150" s="86"/>
      <c r="AG150" s="94"/>
    </row>
    <row r="151" spans="24:33" x14ac:dyDescent="0.25">
      <c r="X151" s="86"/>
      <c r="AG151" s="94"/>
    </row>
    <row r="152" spans="24:33" x14ac:dyDescent="0.25">
      <c r="X152" s="86"/>
      <c r="AG152" s="94"/>
    </row>
    <row r="153" spans="24:33" x14ac:dyDescent="0.25">
      <c r="X153" s="86"/>
      <c r="AG153" s="94"/>
    </row>
    <row r="154" spans="24:33" x14ac:dyDescent="0.25">
      <c r="X154" s="86"/>
      <c r="AG154" s="94"/>
    </row>
    <row r="155" spans="24:33" x14ac:dyDescent="0.25">
      <c r="X155" s="86"/>
      <c r="AG155" s="94"/>
    </row>
    <row r="156" spans="24:33" x14ac:dyDescent="0.25">
      <c r="X156" s="86"/>
      <c r="AG156" s="94"/>
    </row>
    <row r="157" spans="24:33" x14ac:dyDescent="0.25">
      <c r="X157" s="86"/>
      <c r="AG157" s="94"/>
    </row>
    <row r="158" spans="24:33" x14ac:dyDescent="0.25">
      <c r="X158" s="86"/>
      <c r="AG158" s="94"/>
    </row>
    <row r="159" spans="24:33" x14ac:dyDescent="0.25">
      <c r="X159" s="86"/>
      <c r="AG159" s="94"/>
    </row>
    <row r="160" spans="24:33" x14ac:dyDescent="0.25">
      <c r="X160" s="86"/>
      <c r="AG160" s="94"/>
    </row>
    <row r="161" spans="24:33" x14ac:dyDescent="0.25">
      <c r="X161" s="86"/>
      <c r="AG161" s="94"/>
    </row>
    <row r="162" spans="24:33" x14ac:dyDescent="0.25">
      <c r="X162" s="86"/>
      <c r="AG162" s="94"/>
    </row>
    <row r="163" spans="24:33" x14ac:dyDescent="0.25">
      <c r="X163" s="86"/>
      <c r="AG163" s="94"/>
    </row>
    <row r="164" spans="24:33" x14ac:dyDescent="0.25">
      <c r="X164" s="86"/>
      <c r="AG164" s="94"/>
    </row>
    <row r="165" spans="24:33" x14ac:dyDescent="0.25">
      <c r="X165" s="86"/>
      <c r="AG165" s="94"/>
    </row>
    <row r="166" spans="24:33" x14ac:dyDescent="0.25">
      <c r="X166" s="86"/>
      <c r="AG166" s="94"/>
    </row>
    <row r="167" spans="24:33" x14ac:dyDescent="0.25">
      <c r="X167" s="86"/>
      <c r="AG167" s="94"/>
    </row>
    <row r="168" spans="24:33" x14ac:dyDescent="0.25">
      <c r="X168" s="86"/>
      <c r="AG168" s="94"/>
    </row>
    <row r="169" spans="24:33" x14ac:dyDescent="0.25">
      <c r="X169" s="86"/>
      <c r="AG169" s="94"/>
    </row>
    <row r="170" spans="24:33" x14ac:dyDescent="0.25">
      <c r="X170" s="86"/>
      <c r="AG170" s="94"/>
    </row>
    <row r="171" spans="24:33" x14ac:dyDescent="0.25">
      <c r="X171" s="86"/>
      <c r="AG171" s="94"/>
    </row>
    <row r="172" spans="24:33" x14ac:dyDescent="0.25">
      <c r="X172" s="86"/>
      <c r="AG172" s="94"/>
    </row>
    <row r="173" spans="24:33" x14ac:dyDescent="0.25">
      <c r="X173" s="86"/>
      <c r="AG173" s="94"/>
    </row>
    <row r="174" spans="24:33" x14ac:dyDescent="0.25">
      <c r="X174" s="86"/>
      <c r="AG174" s="94"/>
    </row>
    <row r="175" spans="24:33" x14ac:dyDescent="0.25">
      <c r="X175" s="86"/>
      <c r="AG175" s="94"/>
    </row>
    <row r="176" spans="24:33" x14ac:dyDescent="0.25">
      <c r="X176" s="86"/>
      <c r="AG176" s="94"/>
    </row>
    <row r="177" spans="24:33" x14ac:dyDescent="0.25">
      <c r="X177" s="86"/>
      <c r="AG177" s="94"/>
    </row>
    <row r="178" spans="24:33" x14ac:dyDescent="0.25">
      <c r="X178" s="86"/>
      <c r="AG178" s="94"/>
    </row>
    <row r="179" spans="24:33" x14ac:dyDescent="0.25">
      <c r="X179" s="86"/>
      <c r="AG179" s="94"/>
    </row>
    <row r="180" spans="24:33" x14ac:dyDescent="0.25">
      <c r="X180" s="86"/>
      <c r="AG180" s="94"/>
    </row>
    <row r="181" spans="24:33" x14ac:dyDescent="0.25">
      <c r="X181" s="86"/>
      <c r="AG181" s="94"/>
    </row>
    <row r="182" spans="24:33" x14ac:dyDescent="0.25">
      <c r="X182" s="86"/>
      <c r="AG182" s="94"/>
    </row>
    <row r="183" spans="24:33" x14ac:dyDescent="0.25">
      <c r="X183" s="86"/>
      <c r="AG183" s="94"/>
    </row>
    <row r="184" spans="24:33" x14ac:dyDescent="0.25">
      <c r="X184" s="86"/>
      <c r="AG184" s="94"/>
    </row>
    <row r="185" spans="24:33" x14ac:dyDescent="0.25">
      <c r="X185" s="86"/>
      <c r="AG185" s="94"/>
    </row>
    <row r="186" spans="24:33" x14ac:dyDescent="0.25">
      <c r="X186" s="86"/>
      <c r="AG186" s="94"/>
    </row>
    <row r="187" spans="24:33" x14ac:dyDescent="0.25">
      <c r="X187" s="86"/>
      <c r="AG187" s="94"/>
    </row>
    <row r="188" spans="24:33" x14ac:dyDescent="0.25">
      <c r="X188" s="86"/>
      <c r="AG188" s="94"/>
    </row>
    <row r="189" spans="24:33" x14ac:dyDescent="0.25">
      <c r="X189" s="86"/>
      <c r="AG189" s="94"/>
    </row>
    <row r="190" spans="24:33" x14ac:dyDescent="0.25">
      <c r="X190" s="86"/>
      <c r="AG190" s="94"/>
    </row>
    <row r="191" spans="24:33" x14ac:dyDescent="0.25">
      <c r="X191" s="86"/>
      <c r="AG191" s="94"/>
    </row>
    <row r="192" spans="24:33" x14ac:dyDescent="0.25">
      <c r="X192" s="86"/>
      <c r="AG192" s="94"/>
    </row>
    <row r="193" spans="24:33" x14ac:dyDescent="0.25">
      <c r="X193" s="86"/>
      <c r="AG193" s="94"/>
    </row>
    <row r="194" spans="24:33" x14ac:dyDescent="0.25">
      <c r="X194" s="86"/>
      <c r="AG194" s="94"/>
    </row>
    <row r="195" spans="24:33" x14ac:dyDescent="0.25">
      <c r="X195" s="86"/>
      <c r="AG195" s="94"/>
    </row>
    <row r="196" spans="24:33" x14ac:dyDescent="0.25">
      <c r="X196" s="86"/>
      <c r="AG196" s="94"/>
    </row>
    <row r="197" spans="24:33" x14ac:dyDescent="0.25">
      <c r="X197" s="86"/>
      <c r="AG197" s="94"/>
    </row>
    <row r="198" spans="24:33" x14ac:dyDescent="0.25">
      <c r="X198" s="86"/>
      <c r="AG198" s="94"/>
    </row>
    <row r="199" spans="24:33" x14ac:dyDescent="0.25">
      <c r="X199" s="86"/>
      <c r="AG199" s="94"/>
    </row>
    <row r="200" spans="24:33" x14ac:dyDescent="0.25">
      <c r="X200" s="86"/>
      <c r="AG200" s="94"/>
    </row>
    <row r="201" spans="24:33" x14ac:dyDescent="0.25">
      <c r="X201" s="86"/>
      <c r="AG201" s="94"/>
    </row>
    <row r="202" spans="24:33" x14ac:dyDescent="0.25">
      <c r="X202" s="86"/>
      <c r="AG202" s="94"/>
    </row>
    <row r="203" spans="24:33" x14ac:dyDescent="0.25">
      <c r="X203" s="86"/>
      <c r="AG203" s="94"/>
    </row>
    <row r="204" spans="24:33" x14ac:dyDescent="0.25">
      <c r="X204" s="86"/>
      <c r="AG204" s="94"/>
    </row>
    <row r="205" spans="24:33" x14ac:dyDescent="0.25">
      <c r="X205" s="86"/>
      <c r="AG205" s="94"/>
    </row>
    <row r="206" spans="24:33" x14ac:dyDescent="0.25">
      <c r="X206" s="86"/>
      <c r="AG206" s="94"/>
    </row>
    <row r="207" spans="24:33" x14ac:dyDescent="0.25">
      <c r="X207" s="86"/>
      <c r="AG207" s="94"/>
    </row>
    <row r="208" spans="24:33" x14ac:dyDescent="0.25">
      <c r="X208" s="86"/>
      <c r="AG208" s="94"/>
    </row>
    <row r="209" spans="24:33" x14ac:dyDescent="0.25">
      <c r="X209" s="86"/>
      <c r="AG209" s="94"/>
    </row>
    <row r="210" spans="24:33" x14ac:dyDescent="0.25">
      <c r="X210" s="86"/>
      <c r="AG210" s="94"/>
    </row>
    <row r="211" spans="24:33" x14ac:dyDescent="0.25">
      <c r="X211" s="86"/>
      <c r="AG211" s="94"/>
    </row>
    <row r="212" spans="24:33" x14ac:dyDescent="0.25">
      <c r="X212" s="86"/>
      <c r="AG212" s="94"/>
    </row>
    <row r="213" spans="24:33" x14ac:dyDescent="0.25">
      <c r="X213" s="86"/>
      <c r="AG213" s="94"/>
    </row>
    <row r="214" spans="24:33" x14ac:dyDescent="0.25">
      <c r="X214" s="86"/>
      <c r="AG214" s="94"/>
    </row>
    <row r="215" spans="24:33" x14ac:dyDescent="0.25">
      <c r="X215" s="86"/>
      <c r="AG215" s="94"/>
    </row>
    <row r="216" spans="24:33" x14ac:dyDescent="0.25">
      <c r="X216" s="86"/>
      <c r="AG216" s="94"/>
    </row>
    <row r="217" spans="24:33" x14ac:dyDescent="0.25">
      <c r="X217" s="86"/>
      <c r="AG217" s="94"/>
    </row>
    <row r="218" spans="24:33" x14ac:dyDescent="0.25">
      <c r="X218" s="86"/>
      <c r="AG218" s="94"/>
    </row>
    <row r="219" spans="24:33" x14ac:dyDescent="0.25">
      <c r="X219" s="86"/>
      <c r="AG219" s="94"/>
    </row>
    <row r="220" spans="24:33" x14ac:dyDescent="0.25">
      <c r="X220" s="86"/>
      <c r="AG220" s="94"/>
    </row>
    <row r="221" spans="24:33" x14ac:dyDescent="0.25">
      <c r="X221" s="86"/>
      <c r="AG221" s="94"/>
    </row>
    <row r="222" spans="24:33" x14ac:dyDescent="0.25">
      <c r="X222" s="86"/>
      <c r="AG222" s="94"/>
    </row>
    <row r="223" spans="24:33" x14ac:dyDescent="0.25">
      <c r="X223" s="86"/>
      <c r="AG223" s="94"/>
    </row>
    <row r="224" spans="24:33" x14ac:dyDescent="0.25">
      <c r="X224" s="86"/>
      <c r="AG224" s="94"/>
    </row>
    <row r="225" spans="24:33" x14ac:dyDescent="0.25">
      <c r="X225" s="86"/>
      <c r="AG225" s="94"/>
    </row>
    <row r="226" spans="24:33" x14ac:dyDescent="0.25">
      <c r="X226" s="86"/>
      <c r="AG226" s="94"/>
    </row>
    <row r="227" spans="24:33" x14ac:dyDescent="0.25">
      <c r="X227" s="86"/>
      <c r="AG227" s="94"/>
    </row>
    <row r="228" spans="24:33" x14ac:dyDescent="0.25">
      <c r="X228" s="86"/>
      <c r="AG228" s="94"/>
    </row>
    <row r="229" spans="24:33" x14ac:dyDescent="0.25">
      <c r="X229" s="86"/>
      <c r="AG229" s="94"/>
    </row>
    <row r="230" spans="24:33" x14ac:dyDescent="0.25">
      <c r="X230" s="86"/>
      <c r="AG230" s="94"/>
    </row>
    <row r="231" spans="24:33" x14ac:dyDescent="0.25">
      <c r="X231" s="86"/>
      <c r="AG231" s="94"/>
    </row>
    <row r="232" spans="24:33" x14ac:dyDescent="0.25">
      <c r="X232" s="86"/>
      <c r="AG232" s="94"/>
    </row>
    <row r="233" spans="24:33" x14ac:dyDescent="0.25">
      <c r="X233" s="86"/>
      <c r="AG233" s="94"/>
    </row>
    <row r="234" spans="24:33" x14ac:dyDescent="0.25">
      <c r="X234" s="86"/>
      <c r="AG234" s="94"/>
    </row>
    <row r="235" spans="24:33" x14ac:dyDescent="0.25">
      <c r="X235" s="86"/>
      <c r="AG235" s="94"/>
    </row>
    <row r="236" spans="24:33" x14ac:dyDescent="0.25">
      <c r="X236" s="86"/>
      <c r="AG236" s="94"/>
    </row>
    <row r="237" spans="24:33" x14ac:dyDescent="0.25">
      <c r="X237" s="86"/>
      <c r="AG237" s="94"/>
    </row>
    <row r="238" spans="24:33" x14ac:dyDescent="0.25">
      <c r="X238" s="86"/>
      <c r="AG238" s="94"/>
    </row>
    <row r="239" spans="24:33" x14ac:dyDescent="0.25">
      <c r="X239" s="86"/>
      <c r="AG239" s="94"/>
    </row>
    <row r="240" spans="24:33" x14ac:dyDescent="0.25">
      <c r="X240" s="86"/>
      <c r="AG240" s="94"/>
    </row>
    <row r="241" spans="24:33" x14ac:dyDescent="0.25">
      <c r="X241" s="86"/>
      <c r="AG241" s="94"/>
    </row>
    <row r="242" spans="24:33" x14ac:dyDescent="0.25">
      <c r="X242" s="86"/>
      <c r="AG242" s="94"/>
    </row>
    <row r="243" spans="24:33" x14ac:dyDescent="0.25">
      <c r="X243" s="86"/>
      <c r="AG243" s="94"/>
    </row>
    <row r="244" spans="24:33" x14ac:dyDescent="0.25">
      <c r="X244" s="86"/>
      <c r="AG244" s="94"/>
    </row>
    <row r="245" spans="24:33" x14ac:dyDescent="0.25">
      <c r="X245" s="86"/>
      <c r="AG245" s="94"/>
    </row>
    <row r="246" spans="24:33" x14ac:dyDescent="0.25">
      <c r="X246" s="86"/>
      <c r="AG246" s="94"/>
    </row>
    <row r="247" spans="24:33" x14ac:dyDescent="0.25">
      <c r="X247" s="86"/>
      <c r="AG247" s="94"/>
    </row>
    <row r="248" spans="24:33" x14ac:dyDescent="0.25">
      <c r="X248" s="86"/>
      <c r="AG248" s="94"/>
    </row>
    <row r="249" spans="24:33" x14ac:dyDescent="0.25">
      <c r="X249" s="86"/>
      <c r="AG249" s="94"/>
    </row>
    <row r="250" spans="24:33" x14ac:dyDescent="0.25">
      <c r="X250" s="86"/>
      <c r="AG250" s="94"/>
    </row>
    <row r="251" spans="24:33" x14ac:dyDescent="0.25">
      <c r="X251" s="86"/>
      <c r="AG251" s="94"/>
    </row>
    <row r="252" spans="24:33" x14ac:dyDescent="0.25">
      <c r="X252" s="86"/>
      <c r="AG252" s="94"/>
    </row>
    <row r="253" spans="24:33" x14ac:dyDescent="0.25">
      <c r="X253" s="86"/>
      <c r="AG253" s="94"/>
    </row>
    <row r="254" spans="24:33" x14ac:dyDescent="0.25">
      <c r="X254" s="86"/>
      <c r="AG254" s="94"/>
    </row>
    <row r="255" spans="24:33" x14ac:dyDescent="0.25">
      <c r="X255" s="86"/>
      <c r="AG255" s="94"/>
    </row>
    <row r="256" spans="24:33" x14ac:dyDescent="0.25">
      <c r="X256" s="86"/>
      <c r="AG256" s="94"/>
    </row>
    <row r="257" spans="24:33" x14ac:dyDescent="0.25">
      <c r="X257" s="86"/>
      <c r="AG257" s="94"/>
    </row>
    <row r="258" spans="24:33" x14ac:dyDescent="0.25">
      <c r="X258" s="86"/>
      <c r="AG258" s="94"/>
    </row>
    <row r="259" spans="24:33" x14ac:dyDescent="0.25">
      <c r="X259" s="86"/>
      <c r="AG259" s="94"/>
    </row>
    <row r="260" spans="24:33" x14ac:dyDescent="0.25">
      <c r="X260" s="86"/>
      <c r="AG260" s="94"/>
    </row>
    <row r="261" spans="24:33" x14ac:dyDescent="0.25">
      <c r="X261" s="86"/>
      <c r="AG261" s="94"/>
    </row>
    <row r="262" spans="24:33" x14ac:dyDescent="0.25">
      <c r="X262" s="86"/>
      <c r="AG262" s="94"/>
    </row>
    <row r="263" spans="24:33" x14ac:dyDescent="0.25">
      <c r="X263" s="86"/>
      <c r="AG263" s="94"/>
    </row>
    <row r="264" spans="24:33" x14ac:dyDescent="0.25">
      <c r="X264" s="86"/>
      <c r="AG264" s="94"/>
    </row>
    <row r="265" spans="24:33" x14ac:dyDescent="0.25">
      <c r="X265" s="86"/>
      <c r="AG265" s="94"/>
    </row>
    <row r="266" spans="24:33" x14ac:dyDescent="0.25">
      <c r="X266" s="86"/>
      <c r="AG266" s="94"/>
    </row>
    <row r="267" spans="24:33" x14ac:dyDescent="0.25">
      <c r="X267" s="86"/>
      <c r="AG267" s="94"/>
    </row>
    <row r="268" spans="24:33" x14ac:dyDescent="0.25">
      <c r="X268" s="86"/>
      <c r="AG268" s="94"/>
    </row>
    <row r="269" spans="24:33" x14ac:dyDescent="0.25">
      <c r="X269" s="86"/>
      <c r="AG269" s="94"/>
    </row>
    <row r="270" spans="24:33" x14ac:dyDescent="0.25">
      <c r="X270" s="86"/>
      <c r="AG270" s="94"/>
    </row>
    <row r="271" spans="24:33" x14ac:dyDescent="0.25">
      <c r="X271" s="86"/>
      <c r="AG271" s="94"/>
    </row>
    <row r="272" spans="24:33" x14ac:dyDescent="0.25">
      <c r="X272" s="86"/>
      <c r="AG272" s="94"/>
    </row>
    <row r="273" spans="24:33" x14ac:dyDescent="0.25">
      <c r="X273" s="86"/>
      <c r="AG273" s="94"/>
    </row>
    <row r="274" spans="24:33" x14ac:dyDescent="0.25">
      <c r="X274" s="86"/>
      <c r="AG274" s="94"/>
    </row>
    <row r="275" spans="24:33" x14ac:dyDescent="0.25">
      <c r="X275" s="86"/>
      <c r="AG275" s="94"/>
    </row>
    <row r="276" spans="24:33" x14ac:dyDescent="0.25">
      <c r="X276" s="86"/>
      <c r="AG276" s="94"/>
    </row>
    <row r="277" spans="24:33" x14ac:dyDescent="0.25">
      <c r="X277" s="86"/>
      <c r="AG277" s="94"/>
    </row>
    <row r="278" spans="24:33" x14ac:dyDescent="0.25">
      <c r="X278" s="86"/>
      <c r="AG278" s="94"/>
    </row>
    <row r="279" spans="24:33" x14ac:dyDescent="0.25">
      <c r="X279" s="86"/>
      <c r="AG279" s="94"/>
    </row>
    <row r="280" spans="24:33" x14ac:dyDescent="0.25">
      <c r="X280" s="86"/>
      <c r="AG280" s="94"/>
    </row>
    <row r="281" spans="24:33" x14ac:dyDescent="0.25">
      <c r="X281" s="86"/>
      <c r="AG281" s="94"/>
    </row>
    <row r="282" spans="24:33" x14ac:dyDescent="0.25">
      <c r="X282" s="86"/>
      <c r="AG282" s="94"/>
    </row>
    <row r="283" spans="24:33" x14ac:dyDescent="0.25">
      <c r="X283" s="86"/>
      <c r="AG283" s="94"/>
    </row>
    <row r="284" spans="24:33" x14ac:dyDescent="0.25">
      <c r="X284" s="86"/>
      <c r="AG284" s="94"/>
    </row>
    <row r="285" spans="24:33" x14ac:dyDescent="0.25">
      <c r="X285" s="86"/>
      <c r="AG285" s="94"/>
    </row>
    <row r="286" spans="24:33" x14ac:dyDescent="0.25">
      <c r="X286" s="86"/>
      <c r="AG286" s="94"/>
    </row>
    <row r="287" spans="24:33" x14ac:dyDescent="0.25">
      <c r="X287" s="86"/>
      <c r="AG287" s="94"/>
    </row>
    <row r="288" spans="24:33" x14ac:dyDescent="0.25">
      <c r="X288" s="86"/>
      <c r="AG288" s="94"/>
    </row>
    <row r="289" spans="24:33" x14ac:dyDescent="0.25">
      <c r="X289" s="86"/>
      <c r="AG289" s="94"/>
    </row>
    <row r="290" spans="24:33" x14ac:dyDescent="0.25">
      <c r="X290" s="86"/>
      <c r="AG290" s="94"/>
    </row>
    <row r="291" spans="24:33" x14ac:dyDescent="0.25">
      <c r="X291" s="86"/>
      <c r="AG291" s="94"/>
    </row>
    <row r="292" spans="24:33" x14ac:dyDescent="0.25">
      <c r="X292" s="86"/>
      <c r="AG292" s="94"/>
    </row>
    <row r="293" spans="24:33" x14ac:dyDescent="0.25">
      <c r="X293" s="86"/>
      <c r="AG293" s="94"/>
    </row>
    <row r="294" spans="24:33" x14ac:dyDescent="0.25">
      <c r="X294" s="86"/>
      <c r="AG294" s="94"/>
    </row>
    <row r="295" spans="24:33" x14ac:dyDescent="0.25">
      <c r="X295" s="86"/>
      <c r="AG295" s="94"/>
    </row>
    <row r="296" spans="24:33" x14ac:dyDescent="0.25">
      <c r="X296" s="86"/>
      <c r="AG296" s="94"/>
    </row>
    <row r="297" spans="24:33" x14ac:dyDescent="0.25">
      <c r="X297" s="86"/>
      <c r="AG297" s="94"/>
    </row>
    <row r="298" spans="24:33" x14ac:dyDescent="0.25">
      <c r="X298" s="86"/>
      <c r="AG298" s="94"/>
    </row>
    <row r="299" spans="24:33" x14ac:dyDescent="0.25">
      <c r="X299" s="86"/>
      <c r="AG299" s="94"/>
    </row>
    <row r="300" spans="24:33" x14ac:dyDescent="0.25">
      <c r="X300" s="86"/>
      <c r="AG300" s="94"/>
    </row>
    <row r="301" spans="24:33" x14ac:dyDescent="0.25">
      <c r="X301" s="86"/>
      <c r="AG301" s="94"/>
    </row>
    <row r="302" spans="24:33" x14ac:dyDescent="0.25">
      <c r="X302" s="86"/>
      <c r="AG302" s="94"/>
    </row>
    <row r="303" spans="24:33" x14ac:dyDescent="0.25">
      <c r="X303" s="86"/>
      <c r="AG303" s="94"/>
    </row>
    <row r="304" spans="24:33" x14ac:dyDescent="0.25">
      <c r="X304" s="86"/>
      <c r="AG304" s="94"/>
    </row>
    <row r="305" spans="24:33" x14ac:dyDescent="0.25">
      <c r="X305" s="86"/>
      <c r="AG305" s="94"/>
    </row>
    <row r="306" spans="24:33" x14ac:dyDescent="0.25">
      <c r="X306" s="86"/>
      <c r="AG306" s="94"/>
    </row>
    <row r="307" spans="24:33" x14ac:dyDescent="0.25">
      <c r="X307" s="86"/>
      <c r="AG307" s="94"/>
    </row>
    <row r="308" spans="24:33" x14ac:dyDescent="0.25">
      <c r="X308" s="86"/>
      <c r="AG308" s="94"/>
    </row>
    <row r="309" spans="24:33" x14ac:dyDescent="0.25">
      <c r="X309" s="86"/>
      <c r="AG309" s="94"/>
    </row>
    <row r="310" spans="24:33" x14ac:dyDescent="0.25">
      <c r="X310" s="86"/>
      <c r="AG310" s="94"/>
    </row>
    <row r="311" spans="24:33" x14ac:dyDescent="0.25">
      <c r="X311" s="86"/>
      <c r="AG311" s="94"/>
    </row>
    <row r="312" spans="24:33" x14ac:dyDescent="0.25">
      <c r="X312" s="86"/>
      <c r="AG312" s="94"/>
    </row>
    <row r="313" spans="24:33" x14ac:dyDescent="0.25">
      <c r="X313" s="86"/>
      <c r="AG313" s="94"/>
    </row>
    <row r="314" spans="24:33" x14ac:dyDescent="0.25">
      <c r="X314" s="86"/>
      <c r="AG314" s="94"/>
    </row>
    <row r="315" spans="24:33" x14ac:dyDescent="0.25">
      <c r="X315" s="86"/>
      <c r="AG315" s="94"/>
    </row>
    <row r="316" spans="24:33" x14ac:dyDescent="0.25">
      <c r="X316" s="86"/>
      <c r="AG316" s="94"/>
    </row>
    <row r="317" spans="24:33" x14ac:dyDescent="0.25">
      <c r="X317" s="86"/>
      <c r="AG317" s="94"/>
    </row>
    <row r="318" spans="24:33" x14ac:dyDescent="0.25">
      <c r="X318" s="86"/>
      <c r="AG318" s="94"/>
    </row>
    <row r="319" spans="24:33" x14ac:dyDescent="0.25">
      <c r="X319" s="86"/>
      <c r="AG319" s="94"/>
    </row>
    <row r="320" spans="24:33" x14ac:dyDescent="0.25">
      <c r="X320" s="86"/>
      <c r="AG320" s="94"/>
    </row>
    <row r="321" spans="24:33" x14ac:dyDescent="0.25">
      <c r="X321" s="86"/>
      <c r="AG321" s="94"/>
    </row>
    <row r="322" spans="24:33" x14ac:dyDescent="0.25">
      <c r="X322" s="86"/>
      <c r="AG322" s="94"/>
    </row>
    <row r="323" spans="24:33" x14ac:dyDescent="0.25">
      <c r="X323" s="86"/>
      <c r="AG323" s="94"/>
    </row>
    <row r="324" spans="24:33" x14ac:dyDescent="0.25">
      <c r="X324" s="86"/>
      <c r="AG324" s="94"/>
    </row>
    <row r="325" spans="24:33" x14ac:dyDescent="0.25">
      <c r="X325" s="86"/>
      <c r="AG325" s="94"/>
    </row>
    <row r="326" spans="24:33" x14ac:dyDescent="0.25">
      <c r="X326" s="86"/>
      <c r="AG326" s="94"/>
    </row>
    <row r="327" spans="24:33" x14ac:dyDescent="0.25">
      <c r="X327" s="86"/>
      <c r="AG327" s="94"/>
    </row>
    <row r="328" spans="24:33" x14ac:dyDescent="0.25">
      <c r="X328" s="86"/>
      <c r="AG328" s="94"/>
    </row>
    <row r="329" spans="24:33" x14ac:dyDescent="0.25">
      <c r="X329" s="86"/>
      <c r="AG329" s="94"/>
    </row>
    <row r="330" spans="24:33" x14ac:dyDescent="0.25">
      <c r="X330" s="86"/>
      <c r="AG330" s="94"/>
    </row>
    <row r="331" spans="24:33" x14ac:dyDescent="0.25">
      <c r="X331" s="86"/>
      <c r="AG331" s="94"/>
    </row>
    <row r="332" spans="24:33" x14ac:dyDescent="0.25">
      <c r="X332" s="86"/>
      <c r="AG332" s="94"/>
    </row>
    <row r="333" spans="24:33" x14ac:dyDescent="0.25">
      <c r="X333" s="86"/>
      <c r="AG333" s="94"/>
    </row>
    <row r="334" spans="24:33" x14ac:dyDescent="0.25">
      <c r="X334" s="86"/>
      <c r="AG334" s="94"/>
    </row>
    <row r="335" spans="24:33" x14ac:dyDescent="0.25">
      <c r="X335" s="86"/>
      <c r="AG335" s="94"/>
    </row>
    <row r="336" spans="24:33" x14ac:dyDescent="0.25">
      <c r="X336" s="86"/>
      <c r="AG336" s="94"/>
    </row>
    <row r="337" spans="24:33" x14ac:dyDescent="0.25">
      <c r="X337" s="86"/>
      <c r="AG337" s="94"/>
    </row>
    <row r="338" spans="24:33" x14ac:dyDescent="0.25">
      <c r="X338" s="86"/>
      <c r="AG338" s="94"/>
    </row>
    <row r="339" spans="24:33" x14ac:dyDescent="0.25">
      <c r="X339" s="86"/>
      <c r="AG339" s="94"/>
    </row>
    <row r="340" spans="24:33" x14ac:dyDescent="0.25">
      <c r="X340" s="86"/>
      <c r="AG340" s="94"/>
    </row>
    <row r="341" spans="24:33" x14ac:dyDescent="0.25">
      <c r="X341" s="86"/>
      <c r="AG341" s="94"/>
    </row>
    <row r="342" spans="24:33" x14ac:dyDescent="0.25">
      <c r="X342" s="86"/>
      <c r="AG342" s="94"/>
    </row>
    <row r="343" spans="24:33" x14ac:dyDescent="0.25">
      <c r="X343" s="86"/>
      <c r="AG343" s="94"/>
    </row>
    <row r="344" spans="24:33" x14ac:dyDescent="0.25">
      <c r="X344" s="86"/>
      <c r="AG344" s="94"/>
    </row>
    <row r="345" spans="24:33" x14ac:dyDescent="0.25">
      <c r="X345" s="86"/>
      <c r="AG345" s="94"/>
    </row>
    <row r="346" spans="24:33" x14ac:dyDescent="0.25">
      <c r="X346" s="86"/>
      <c r="AG346" s="94"/>
    </row>
    <row r="347" spans="24:33" x14ac:dyDescent="0.25">
      <c r="X347" s="86"/>
      <c r="AG347" s="94"/>
    </row>
    <row r="348" spans="24:33" x14ac:dyDescent="0.25">
      <c r="X348" s="86"/>
      <c r="AG348" s="94"/>
    </row>
    <row r="349" spans="24:33" x14ac:dyDescent="0.25">
      <c r="X349" s="86"/>
      <c r="AG349" s="94"/>
    </row>
    <row r="350" spans="24:33" x14ac:dyDescent="0.25">
      <c r="X350" s="86"/>
      <c r="AG350" s="94"/>
    </row>
    <row r="351" spans="24:33" x14ac:dyDescent="0.25">
      <c r="X351" s="86"/>
      <c r="AG351" s="94"/>
    </row>
    <row r="352" spans="24:33" x14ac:dyDescent="0.25">
      <c r="X352" s="86"/>
      <c r="AG352" s="94"/>
    </row>
    <row r="353" spans="24:33" x14ac:dyDescent="0.25">
      <c r="X353" s="86"/>
      <c r="AG353" s="94"/>
    </row>
    <row r="354" spans="24:33" x14ac:dyDescent="0.25">
      <c r="X354" s="86"/>
      <c r="AG354" s="94"/>
    </row>
    <row r="355" spans="24:33" x14ac:dyDescent="0.25">
      <c r="X355" s="86"/>
      <c r="AG355" s="94"/>
    </row>
    <row r="356" spans="24:33" x14ac:dyDescent="0.25">
      <c r="X356" s="86"/>
      <c r="AG356" s="94"/>
    </row>
    <row r="357" spans="24:33" x14ac:dyDescent="0.25">
      <c r="X357" s="86"/>
      <c r="AG357" s="94"/>
    </row>
    <row r="358" spans="24:33" x14ac:dyDescent="0.25">
      <c r="X358" s="86"/>
      <c r="AG358" s="94"/>
    </row>
    <row r="359" spans="24:33" x14ac:dyDescent="0.25">
      <c r="X359" s="86"/>
      <c r="AG359" s="94"/>
    </row>
    <row r="360" spans="24:33" x14ac:dyDescent="0.25">
      <c r="X360" s="86"/>
      <c r="AG360" s="94"/>
    </row>
    <row r="361" spans="24:33" x14ac:dyDescent="0.25">
      <c r="X361" s="86"/>
      <c r="AG361" s="94"/>
    </row>
    <row r="362" spans="24:33" x14ac:dyDescent="0.25">
      <c r="X362" s="86"/>
      <c r="AG362" s="94"/>
    </row>
    <row r="363" spans="24:33" x14ac:dyDescent="0.25">
      <c r="X363" s="86"/>
      <c r="AG363" s="94"/>
    </row>
    <row r="364" spans="24:33" x14ac:dyDescent="0.25">
      <c r="X364" s="86"/>
      <c r="AG364" s="94"/>
    </row>
    <row r="365" spans="24:33" x14ac:dyDescent="0.25">
      <c r="X365" s="86"/>
      <c r="AG365" s="94"/>
    </row>
    <row r="366" spans="24:33" x14ac:dyDescent="0.25">
      <c r="X366" s="86"/>
      <c r="AG366" s="94"/>
    </row>
    <row r="367" spans="24:33" x14ac:dyDescent="0.25">
      <c r="X367" s="86"/>
      <c r="AG367" s="94"/>
    </row>
    <row r="368" spans="24:33" x14ac:dyDescent="0.25">
      <c r="X368" s="86"/>
      <c r="AG368" s="94"/>
    </row>
    <row r="369" spans="24:33" x14ac:dyDescent="0.25">
      <c r="X369" s="86"/>
      <c r="AG369" s="94"/>
    </row>
    <row r="370" spans="24:33" x14ac:dyDescent="0.25">
      <c r="X370" s="86"/>
      <c r="AG370" s="94"/>
    </row>
    <row r="371" spans="24:33" x14ac:dyDescent="0.25">
      <c r="X371" s="86"/>
      <c r="AG371" s="94"/>
    </row>
    <row r="372" spans="24:33" x14ac:dyDescent="0.25">
      <c r="X372" s="86"/>
      <c r="AG372" s="94"/>
    </row>
    <row r="373" spans="24:33" x14ac:dyDescent="0.25">
      <c r="X373" s="86"/>
      <c r="AG373" s="94"/>
    </row>
    <row r="374" spans="24:33" x14ac:dyDescent="0.25">
      <c r="X374" s="86"/>
      <c r="AG374" s="94"/>
    </row>
    <row r="375" spans="24:33" x14ac:dyDescent="0.25">
      <c r="X375" s="86"/>
      <c r="AG375" s="94"/>
    </row>
    <row r="376" spans="24:33" x14ac:dyDescent="0.25">
      <c r="X376" s="86"/>
      <c r="AG376" s="94"/>
    </row>
    <row r="377" spans="24:33" x14ac:dyDescent="0.25">
      <c r="X377" s="86"/>
      <c r="AG377" s="94"/>
    </row>
    <row r="378" spans="24:33" x14ac:dyDescent="0.25">
      <c r="X378" s="86"/>
      <c r="AG378" s="94"/>
    </row>
    <row r="379" spans="24:33" x14ac:dyDescent="0.25">
      <c r="X379" s="86"/>
      <c r="AG379" s="94"/>
    </row>
    <row r="380" spans="24:33" x14ac:dyDescent="0.25">
      <c r="X380" s="86"/>
      <c r="AG380" s="94"/>
    </row>
    <row r="381" spans="24:33" x14ac:dyDescent="0.25">
      <c r="X381" s="86"/>
      <c r="AG381" s="94"/>
    </row>
    <row r="382" spans="24:33" x14ac:dyDescent="0.25">
      <c r="X382" s="86"/>
      <c r="AG382" s="94"/>
    </row>
    <row r="383" spans="24:33" x14ac:dyDescent="0.25">
      <c r="X383" s="86"/>
      <c r="AG383" s="94"/>
    </row>
    <row r="384" spans="24:33" x14ac:dyDescent="0.25">
      <c r="X384" s="86"/>
      <c r="AG384" s="94"/>
    </row>
    <row r="385" spans="24:33" x14ac:dyDescent="0.25">
      <c r="X385" s="86"/>
      <c r="AG385" s="94"/>
    </row>
    <row r="386" spans="24:33" x14ac:dyDescent="0.25">
      <c r="X386" s="86"/>
      <c r="AG386" s="94"/>
    </row>
    <row r="387" spans="24:33" x14ac:dyDescent="0.25">
      <c r="X387" s="86"/>
      <c r="AG387" s="94"/>
    </row>
    <row r="388" spans="24:33" x14ac:dyDescent="0.25">
      <c r="X388" s="86"/>
      <c r="AG388" s="94"/>
    </row>
    <row r="389" spans="24:33" x14ac:dyDescent="0.25">
      <c r="X389" s="86"/>
      <c r="AG389" s="94"/>
    </row>
    <row r="390" spans="24:33" x14ac:dyDescent="0.25">
      <c r="X390" s="86"/>
      <c r="AG390" s="94"/>
    </row>
    <row r="391" spans="24:33" x14ac:dyDescent="0.25">
      <c r="X391" s="86"/>
      <c r="AG391" s="94"/>
    </row>
    <row r="392" spans="24:33" x14ac:dyDescent="0.25">
      <c r="X392" s="86"/>
      <c r="AG392" s="94"/>
    </row>
    <row r="393" spans="24:33" x14ac:dyDescent="0.25">
      <c r="X393" s="86"/>
      <c r="AG393" s="94"/>
    </row>
    <row r="394" spans="24:33" x14ac:dyDescent="0.25">
      <c r="X394" s="86"/>
      <c r="AG394" s="94"/>
    </row>
    <row r="395" spans="24:33" x14ac:dyDescent="0.25">
      <c r="X395" s="86"/>
      <c r="AG395" s="94"/>
    </row>
    <row r="396" spans="24:33" x14ac:dyDescent="0.25">
      <c r="X396" s="86"/>
      <c r="AG396" s="94"/>
    </row>
    <row r="397" spans="24:33" x14ac:dyDescent="0.25">
      <c r="X397" s="86"/>
      <c r="AG397" s="94"/>
    </row>
    <row r="398" spans="24:33" x14ac:dyDescent="0.25">
      <c r="X398" s="86"/>
      <c r="AG398" s="94"/>
    </row>
    <row r="399" spans="24:33" x14ac:dyDescent="0.25">
      <c r="X399" s="86"/>
      <c r="AG399" s="94"/>
    </row>
    <row r="400" spans="24:33" x14ac:dyDescent="0.25">
      <c r="X400" s="86"/>
      <c r="AG400" s="94"/>
    </row>
    <row r="401" spans="24:33" x14ac:dyDescent="0.25">
      <c r="X401" s="86"/>
      <c r="AG401" s="94"/>
    </row>
    <row r="402" spans="24:33" x14ac:dyDescent="0.25">
      <c r="X402" s="86"/>
      <c r="AG402" s="94"/>
    </row>
    <row r="403" spans="24:33" x14ac:dyDescent="0.25">
      <c r="X403" s="86"/>
      <c r="AG403" s="94"/>
    </row>
    <row r="404" spans="24:33" x14ac:dyDescent="0.25">
      <c r="X404" s="86"/>
      <c r="AG404" s="94"/>
    </row>
    <row r="405" spans="24:33" x14ac:dyDescent="0.25">
      <c r="X405" s="86"/>
      <c r="AG405" s="94"/>
    </row>
    <row r="406" spans="24:33" x14ac:dyDescent="0.25">
      <c r="X406" s="86"/>
      <c r="AG406" s="94"/>
    </row>
    <row r="407" spans="24:33" x14ac:dyDescent="0.25">
      <c r="X407" s="86"/>
      <c r="AG407" s="94"/>
    </row>
    <row r="408" spans="24:33" x14ac:dyDescent="0.25">
      <c r="X408" s="86"/>
      <c r="AG408" s="94"/>
    </row>
    <row r="409" spans="24:33" x14ac:dyDescent="0.25">
      <c r="X409" s="86"/>
      <c r="AG409" s="94"/>
    </row>
    <row r="410" spans="24:33" x14ac:dyDescent="0.25">
      <c r="X410" s="86"/>
      <c r="AG410" s="94"/>
    </row>
    <row r="411" spans="24:33" x14ac:dyDescent="0.25">
      <c r="X411" s="86"/>
      <c r="AG411" s="94"/>
    </row>
    <row r="412" spans="24:33" x14ac:dyDescent="0.25">
      <c r="X412" s="86"/>
      <c r="AG412" s="94"/>
    </row>
    <row r="413" spans="24:33" x14ac:dyDescent="0.25">
      <c r="X413" s="86"/>
      <c r="AG413" s="94"/>
    </row>
    <row r="414" spans="24:33" x14ac:dyDescent="0.25">
      <c r="X414" s="86"/>
      <c r="AG414" s="94"/>
    </row>
    <row r="415" spans="24:33" x14ac:dyDescent="0.25">
      <c r="X415" s="86"/>
      <c r="AG415" s="94"/>
    </row>
    <row r="416" spans="24:33" x14ac:dyDescent="0.25">
      <c r="X416" s="86"/>
      <c r="AG416" s="94"/>
    </row>
    <row r="417" spans="24:33" x14ac:dyDescent="0.25">
      <c r="X417" s="86"/>
      <c r="AG417" s="94"/>
    </row>
    <row r="418" spans="24:33" x14ac:dyDescent="0.25">
      <c r="X418" s="86"/>
      <c r="AG418" s="94"/>
    </row>
    <row r="419" spans="24:33" x14ac:dyDescent="0.25">
      <c r="X419" s="86"/>
      <c r="AG419" s="94"/>
    </row>
    <row r="420" spans="24:33" x14ac:dyDescent="0.25">
      <c r="X420" s="86"/>
      <c r="AG420" s="94"/>
    </row>
    <row r="421" spans="24:33" x14ac:dyDescent="0.25">
      <c r="X421" s="86"/>
      <c r="AG421" s="94"/>
    </row>
    <row r="422" spans="24:33" x14ac:dyDescent="0.25">
      <c r="X422" s="86"/>
      <c r="AG422" s="94"/>
    </row>
    <row r="423" spans="24:33" x14ac:dyDescent="0.25">
      <c r="X423" s="86"/>
      <c r="AG423" s="94"/>
    </row>
    <row r="424" spans="24:33" x14ac:dyDescent="0.25">
      <c r="X424" s="86"/>
      <c r="AG424" s="94"/>
    </row>
    <row r="425" spans="24:33" x14ac:dyDescent="0.25">
      <c r="X425" s="86"/>
      <c r="AG425" s="94"/>
    </row>
    <row r="426" spans="24:33" x14ac:dyDescent="0.25">
      <c r="X426" s="86"/>
      <c r="AG426" s="94"/>
    </row>
    <row r="427" spans="24:33" x14ac:dyDescent="0.25">
      <c r="X427" s="86"/>
      <c r="AG427" s="94"/>
    </row>
    <row r="428" spans="24:33" x14ac:dyDescent="0.25">
      <c r="X428" s="86"/>
      <c r="AG428" s="94"/>
    </row>
    <row r="429" spans="24:33" x14ac:dyDescent="0.25">
      <c r="X429" s="86"/>
      <c r="AG429" s="94"/>
    </row>
    <row r="430" spans="24:33" x14ac:dyDescent="0.25">
      <c r="X430" s="86"/>
      <c r="AG430" s="94"/>
    </row>
    <row r="431" spans="24:33" x14ac:dyDescent="0.25">
      <c r="X431" s="86"/>
      <c r="AG431" s="94"/>
    </row>
    <row r="432" spans="24:33" x14ac:dyDescent="0.25">
      <c r="X432" s="86"/>
      <c r="AG432" s="94"/>
    </row>
    <row r="433" spans="24:33" x14ac:dyDescent="0.25">
      <c r="X433" s="86"/>
      <c r="AG433" s="94"/>
    </row>
    <row r="434" spans="24:33" x14ac:dyDescent="0.25">
      <c r="X434" s="86"/>
      <c r="AG434" s="94"/>
    </row>
    <row r="435" spans="24:33" x14ac:dyDescent="0.25">
      <c r="X435" s="86"/>
      <c r="AG435" s="94"/>
    </row>
    <row r="436" spans="24:33" x14ac:dyDescent="0.25">
      <c r="X436" s="86"/>
      <c r="AG436" s="94"/>
    </row>
    <row r="437" spans="24:33" x14ac:dyDescent="0.25">
      <c r="X437" s="86"/>
      <c r="AG437" s="94"/>
    </row>
    <row r="438" spans="24:33" x14ac:dyDescent="0.25">
      <c r="X438" s="86"/>
      <c r="AG438" s="94"/>
    </row>
    <row r="439" spans="24:33" x14ac:dyDescent="0.25">
      <c r="X439" s="86"/>
      <c r="AG439" s="94"/>
    </row>
    <row r="440" spans="24:33" x14ac:dyDescent="0.25">
      <c r="X440" s="86"/>
      <c r="AG440" s="94"/>
    </row>
    <row r="441" spans="24:33" x14ac:dyDescent="0.25">
      <c r="X441" s="86"/>
      <c r="AG441" s="94"/>
    </row>
    <row r="442" spans="24:33" x14ac:dyDescent="0.25">
      <c r="X442" s="86"/>
      <c r="AG442" s="94"/>
    </row>
    <row r="443" spans="24:33" x14ac:dyDescent="0.25">
      <c r="X443" s="86"/>
      <c r="AG443" s="94"/>
    </row>
    <row r="444" spans="24:33" x14ac:dyDescent="0.25">
      <c r="X444" s="86"/>
      <c r="AG444" s="94"/>
    </row>
    <row r="445" spans="24:33" x14ac:dyDescent="0.25">
      <c r="X445" s="86"/>
      <c r="AG445" s="94"/>
    </row>
    <row r="446" spans="24:33" x14ac:dyDescent="0.25">
      <c r="X446" s="86"/>
      <c r="AG446" s="94"/>
    </row>
    <row r="447" spans="24:33" x14ac:dyDescent="0.25">
      <c r="X447" s="86"/>
      <c r="AG447" s="94"/>
    </row>
    <row r="448" spans="24:33" x14ac:dyDescent="0.25">
      <c r="X448" s="86"/>
      <c r="AG448" s="94"/>
    </row>
    <row r="449" spans="24:33" x14ac:dyDescent="0.25">
      <c r="X449" s="86"/>
      <c r="AG449" s="94"/>
    </row>
    <row r="450" spans="24:33" x14ac:dyDescent="0.25">
      <c r="X450" s="86"/>
      <c r="AG450" s="94"/>
    </row>
    <row r="451" spans="24:33" x14ac:dyDescent="0.25">
      <c r="X451" s="86"/>
      <c r="AG451" s="94"/>
    </row>
    <row r="452" spans="24:33" x14ac:dyDescent="0.25">
      <c r="X452" s="86"/>
      <c r="AG452" s="94"/>
    </row>
    <row r="453" spans="24:33" x14ac:dyDescent="0.25">
      <c r="X453" s="86"/>
      <c r="AG453" s="94"/>
    </row>
    <row r="454" spans="24:33" x14ac:dyDescent="0.25">
      <c r="X454" s="86"/>
      <c r="AG454" s="94"/>
    </row>
    <row r="455" spans="24:33" x14ac:dyDescent="0.25">
      <c r="X455" s="86"/>
      <c r="AG455" s="94"/>
    </row>
    <row r="456" spans="24:33" x14ac:dyDescent="0.25">
      <c r="X456" s="86"/>
      <c r="AG456" s="94"/>
    </row>
    <row r="457" spans="24:33" x14ac:dyDescent="0.25">
      <c r="X457" s="86"/>
      <c r="AG457" s="94"/>
    </row>
    <row r="458" spans="24:33" x14ac:dyDescent="0.25">
      <c r="X458" s="86"/>
      <c r="AG458" s="94"/>
    </row>
    <row r="459" spans="24:33" x14ac:dyDescent="0.25">
      <c r="X459" s="86"/>
      <c r="AG459" s="94"/>
    </row>
    <row r="460" spans="24:33" x14ac:dyDescent="0.25">
      <c r="X460" s="86"/>
      <c r="AG460" s="94"/>
    </row>
    <row r="461" spans="24:33" x14ac:dyDescent="0.25">
      <c r="X461" s="86"/>
      <c r="AG461" s="94"/>
    </row>
    <row r="462" spans="24:33" x14ac:dyDescent="0.25">
      <c r="X462" s="86"/>
      <c r="AG462" s="94"/>
    </row>
    <row r="463" spans="24:33" x14ac:dyDescent="0.25">
      <c r="X463" s="86"/>
      <c r="AG463" s="94"/>
    </row>
    <row r="464" spans="24:33" x14ac:dyDescent="0.25">
      <c r="X464" s="86"/>
      <c r="AG464" s="94"/>
    </row>
    <row r="465" spans="24:33" x14ac:dyDescent="0.25">
      <c r="X465" s="86"/>
      <c r="AG465" s="94"/>
    </row>
    <row r="466" spans="24:33" x14ac:dyDescent="0.25">
      <c r="X466" s="86"/>
      <c r="AG466" s="94"/>
    </row>
    <row r="467" spans="24:33" x14ac:dyDescent="0.25">
      <c r="X467" s="86"/>
      <c r="AG467" s="94"/>
    </row>
    <row r="468" spans="24:33" x14ac:dyDescent="0.25">
      <c r="X468" s="86"/>
      <c r="AG468" s="94"/>
    </row>
    <row r="469" spans="24:33" x14ac:dyDescent="0.25">
      <c r="X469" s="86"/>
      <c r="AG469" s="94"/>
    </row>
    <row r="470" spans="24:33" x14ac:dyDescent="0.25">
      <c r="X470" s="86"/>
      <c r="AG470" s="94"/>
    </row>
    <row r="471" spans="24:33" x14ac:dyDescent="0.25">
      <c r="X471" s="86"/>
      <c r="AG471" s="94"/>
    </row>
    <row r="472" spans="24:33" x14ac:dyDescent="0.25">
      <c r="X472" s="86"/>
      <c r="AG472" s="94"/>
    </row>
    <row r="473" spans="24:33" x14ac:dyDescent="0.25">
      <c r="X473" s="86"/>
      <c r="AG473" s="94"/>
    </row>
    <row r="474" spans="24:33" x14ac:dyDescent="0.25">
      <c r="X474" s="86"/>
      <c r="AG474" s="94"/>
    </row>
    <row r="475" spans="24:33" x14ac:dyDescent="0.25">
      <c r="X475" s="86"/>
      <c r="AG475" s="94"/>
    </row>
    <row r="476" spans="24:33" x14ac:dyDescent="0.25">
      <c r="X476" s="86"/>
      <c r="AG476" s="94"/>
    </row>
    <row r="477" spans="24:33" x14ac:dyDescent="0.25">
      <c r="X477" s="86"/>
      <c r="AG477" s="94"/>
    </row>
    <row r="478" spans="24:33" x14ac:dyDescent="0.25">
      <c r="X478" s="86"/>
      <c r="AG478" s="94"/>
    </row>
    <row r="479" spans="24:33" x14ac:dyDescent="0.25">
      <c r="X479" s="86"/>
      <c r="AG479" s="94"/>
    </row>
    <row r="480" spans="24:33" x14ac:dyDescent="0.25">
      <c r="X480" s="86"/>
      <c r="AG480" s="94"/>
    </row>
    <row r="481" spans="24:33" x14ac:dyDescent="0.25">
      <c r="X481" s="86"/>
      <c r="AG481" s="94"/>
    </row>
    <row r="482" spans="24:33" x14ac:dyDescent="0.25">
      <c r="X482" s="86"/>
      <c r="AG482" s="94"/>
    </row>
    <row r="483" spans="24:33" x14ac:dyDescent="0.25">
      <c r="X483" s="86"/>
      <c r="AG483" s="94"/>
    </row>
    <row r="484" spans="24:33" x14ac:dyDescent="0.25">
      <c r="X484" s="86"/>
      <c r="AG484" s="94"/>
    </row>
    <row r="485" spans="24:33" x14ac:dyDescent="0.25">
      <c r="X485" s="86"/>
      <c r="AG485" s="94"/>
    </row>
    <row r="486" spans="24:33" x14ac:dyDescent="0.25">
      <c r="X486" s="86"/>
      <c r="AG486" s="94"/>
    </row>
    <row r="487" spans="24:33" x14ac:dyDescent="0.25">
      <c r="X487" s="86"/>
      <c r="AG487" s="94"/>
    </row>
    <row r="488" spans="24:33" x14ac:dyDescent="0.25">
      <c r="X488" s="86"/>
      <c r="AG488" s="94"/>
    </row>
    <row r="489" spans="24:33" x14ac:dyDescent="0.25">
      <c r="X489" s="86"/>
      <c r="AG489" s="94"/>
    </row>
    <row r="490" spans="24:33" x14ac:dyDescent="0.25">
      <c r="X490" s="86"/>
      <c r="AG490" s="94"/>
    </row>
    <row r="491" spans="24:33" x14ac:dyDescent="0.25">
      <c r="X491" s="86"/>
      <c r="AG491" s="94"/>
    </row>
    <row r="492" spans="24:33" x14ac:dyDescent="0.25">
      <c r="X492" s="86"/>
      <c r="AG492" s="94"/>
    </row>
    <row r="493" spans="24:33" x14ac:dyDescent="0.25">
      <c r="X493" s="86"/>
      <c r="AG493" s="94"/>
    </row>
    <row r="494" spans="24:33" x14ac:dyDescent="0.25">
      <c r="X494" s="86"/>
      <c r="AG494" s="94"/>
    </row>
    <row r="495" spans="24:33" x14ac:dyDescent="0.25">
      <c r="X495" s="86"/>
      <c r="AG495" s="94"/>
    </row>
    <row r="496" spans="24:33" x14ac:dyDescent="0.25">
      <c r="X496" s="86"/>
      <c r="AG496" s="94"/>
    </row>
    <row r="497" spans="24:33" x14ac:dyDescent="0.25">
      <c r="X497" s="86"/>
      <c r="AG497" s="94"/>
    </row>
    <row r="498" spans="24:33" x14ac:dyDescent="0.25">
      <c r="X498" s="86"/>
      <c r="AG498" s="94"/>
    </row>
    <row r="499" spans="24:33" x14ac:dyDescent="0.25">
      <c r="X499" s="86"/>
      <c r="AG499" s="94"/>
    </row>
    <row r="500" spans="24:33" x14ac:dyDescent="0.25">
      <c r="X500" s="86"/>
      <c r="AG500" s="94"/>
    </row>
    <row r="501" spans="24:33" x14ac:dyDescent="0.25">
      <c r="X501" s="86"/>
      <c r="AG501" s="94"/>
    </row>
    <row r="502" spans="24:33" x14ac:dyDescent="0.25">
      <c r="X502" s="86"/>
      <c r="AG502" s="94"/>
    </row>
    <row r="503" spans="24:33" x14ac:dyDescent="0.25">
      <c r="X503" s="86"/>
      <c r="AG503" s="94"/>
    </row>
    <row r="504" spans="24:33" x14ac:dyDescent="0.25">
      <c r="X504" s="86"/>
      <c r="AG504" s="94"/>
    </row>
    <row r="505" spans="24:33" x14ac:dyDescent="0.25">
      <c r="X505" s="86"/>
      <c r="AG505" s="94"/>
    </row>
    <row r="506" spans="24:33" x14ac:dyDescent="0.25">
      <c r="X506" s="86"/>
      <c r="AG506" s="94"/>
    </row>
    <row r="507" spans="24:33" x14ac:dyDescent="0.25">
      <c r="X507" s="86"/>
      <c r="AG507" s="94"/>
    </row>
    <row r="508" spans="24:33" x14ac:dyDescent="0.25">
      <c r="X508" s="86"/>
      <c r="AG508" s="94"/>
    </row>
    <row r="509" spans="24:33" x14ac:dyDescent="0.25">
      <c r="X509" s="86"/>
      <c r="AG509" s="94"/>
    </row>
    <row r="510" spans="24:33" x14ac:dyDescent="0.25">
      <c r="X510" s="86"/>
      <c r="AG510" s="94"/>
    </row>
    <row r="511" spans="24:33" x14ac:dyDescent="0.25">
      <c r="X511" s="86"/>
      <c r="AG511" s="94"/>
    </row>
    <row r="512" spans="24:33" x14ac:dyDescent="0.25">
      <c r="X512" s="86"/>
      <c r="AG512" s="94"/>
    </row>
    <row r="513" spans="24:33" x14ac:dyDescent="0.25">
      <c r="X513" s="86"/>
      <c r="AG513" s="94"/>
    </row>
    <row r="514" spans="24:33" x14ac:dyDescent="0.25">
      <c r="X514" s="86"/>
      <c r="AG514" s="94"/>
    </row>
    <row r="515" spans="24:33" x14ac:dyDescent="0.25">
      <c r="X515" s="86"/>
      <c r="AG515" s="94"/>
    </row>
    <row r="516" spans="24:33" x14ac:dyDescent="0.25">
      <c r="X516" s="86"/>
      <c r="AG516" s="94"/>
    </row>
    <row r="517" spans="24:33" x14ac:dyDescent="0.25">
      <c r="X517" s="86"/>
      <c r="AG517" s="94"/>
    </row>
    <row r="518" spans="24:33" x14ac:dyDescent="0.25">
      <c r="X518" s="86"/>
      <c r="AG518" s="94"/>
    </row>
    <row r="519" spans="24:33" x14ac:dyDescent="0.25">
      <c r="X519" s="86"/>
      <c r="AG519" s="94"/>
    </row>
    <row r="520" spans="24:33" x14ac:dyDescent="0.25">
      <c r="X520" s="86"/>
      <c r="AG520" s="94"/>
    </row>
    <row r="521" spans="24:33" x14ac:dyDescent="0.25">
      <c r="X521" s="86"/>
      <c r="AG521" s="94"/>
    </row>
    <row r="522" spans="24:33" x14ac:dyDescent="0.25">
      <c r="X522" s="86"/>
      <c r="AG522" s="94"/>
    </row>
    <row r="523" spans="24:33" x14ac:dyDescent="0.25">
      <c r="X523" s="86"/>
      <c r="AG523" s="94"/>
    </row>
    <row r="524" spans="24:33" x14ac:dyDescent="0.25">
      <c r="X524" s="86"/>
      <c r="AG524" s="94"/>
    </row>
    <row r="525" spans="24:33" x14ac:dyDescent="0.25">
      <c r="X525" s="86"/>
      <c r="AG525" s="94"/>
    </row>
    <row r="526" spans="24:33" x14ac:dyDescent="0.25">
      <c r="X526" s="86"/>
      <c r="AG526" s="94"/>
    </row>
    <row r="527" spans="24:33" x14ac:dyDescent="0.25">
      <c r="X527" s="86"/>
      <c r="AG527" s="94"/>
    </row>
    <row r="528" spans="24:33" x14ac:dyDescent="0.25">
      <c r="X528" s="86"/>
      <c r="AG528" s="94"/>
    </row>
    <row r="529" spans="24:33" x14ac:dyDescent="0.25">
      <c r="X529" s="86"/>
      <c r="AG529" s="94"/>
    </row>
    <row r="530" spans="24:33" x14ac:dyDescent="0.25">
      <c r="X530" s="86"/>
      <c r="AG530" s="94"/>
    </row>
    <row r="531" spans="24:33" x14ac:dyDescent="0.25">
      <c r="X531" s="86"/>
      <c r="AG531" s="94"/>
    </row>
    <row r="532" spans="24:33" x14ac:dyDescent="0.25">
      <c r="X532" s="86"/>
      <c r="AG532" s="94"/>
    </row>
    <row r="533" spans="24:33" x14ac:dyDescent="0.25">
      <c r="X533" s="86"/>
      <c r="AG533" s="94"/>
    </row>
    <row r="534" spans="24:33" x14ac:dyDescent="0.25">
      <c r="X534" s="86"/>
      <c r="AG534" s="94"/>
    </row>
    <row r="535" spans="24:33" x14ac:dyDescent="0.25">
      <c r="X535" s="86"/>
      <c r="AG535" s="94"/>
    </row>
    <row r="536" spans="24:33" x14ac:dyDescent="0.25">
      <c r="X536" s="86"/>
      <c r="AG536" s="94"/>
    </row>
    <row r="537" spans="24:33" x14ac:dyDescent="0.25">
      <c r="X537" s="86"/>
      <c r="AG537" s="94"/>
    </row>
    <row r="538" spans="24:33" x14ac:dyDescent="0.25">
      <c r="X538" s="86"/>
      <c r="AG538" s="94"/>
    </row>
    <row r="539" spans="24:33" x14ac:dyDescent="0.25">
      <c r="X539" s="86"/>
      <c r="AG539" s="94"/>
    </row>
    <row r="540" spans="24:33" x14ac:dyDescent="0.25">
      <c r="X540" s="86"/>
      <c r="AG540" s="94"/>
    </row>
    <row r="541" spans="24:33" x14ac:dyDescent="0.25">
      <c r="X541" s="86"/>
      <c r="AG541" s="94"/>
    </row>
    <row r="542" spans="24:33" x14ac:dyDescent="0.25">
      <c r="X542" s="86"/>
      <c r="AG542" s="94"/>
    </row>
    <row r="543" spans="24:33" x14ac:dyDescent="0.25">
      <c r="X543" s="86"/>
      <c r="AG543" s="94"/>
    </row>
    <row r="544" spans="24:33" x14ac:dyDescent="0.25">
      <c r="X544" s="86"/>
      <c r="AG544" s="94"/>
    </row>
    <row r="545" spans="24:33" x14ac:dyDescent="0.25">
      <c r="X545" s="86"/>
      <c r="AG545" s="94"/>
    </row>
    <row r="546" spans="24:33" x14ac:dyDescent="0.25">
      <c r="X546" s="86"/>
      <c r="AG546" s="94"/>
    </row>
    <row r="547" spans="24:33" x14ac:dyDescent="0.25">
      <c r="X547" s="86"/>
      <c r="AG547" s="94"/>
    </row>
    <row r="548" spans="24:33" x14ac:dyDescent="0.25">
      <c r="X548" s="86"/>
      <c r="AG548" s="94"/>
    </row>
    <row r="549" spans="24:33" x14ac:dyDescent="0.25">
      <c r="X549" s="86"/>
      <c r="AG549" s="94"/>
    </row>
    <row r="550" spans="24:33" x14ac:dyDescent="0.25">
      <c r="X550" s="86"/>
      <c r="AG550" s="94"/>
    </row>
    <row r="551" spans="24:33" x14ac:dyDescent="0.25">
      <c r="X551" s="86"/>
      <c r="AG551" s="94"/>
    </row>
    <row r="552" spans="24:33" x14ac:dyDescent="0.25">
      <c r="X552" s="86"/>
      <c r="AG552" s="94"/>
    </row>
    <row r="553" spans="24:33" x14ac:dyDescent="0.25">
      <c r="X553" s="86"/>
      <c r="AG553" s="94"/>
    </row>
    <row r="554" spans="24:33" x14ac:dyDescent="0.25">
      <c r="X554" s="86"/>
      <c r="AG554" s="94"/>
    </row>
    <row r="555" spans="24:33" x14ac:dyDescent="0.25">
      <c r="X555" s="86"/>
      <c r="AG555" s="94"/>
    </row>
    <row r="556" spans="24:33" x14ac:dyDescent="0.25">
      <c r="X556" s="86"/>
      <c r="AG556" s="94"/>
    </row>
    <row r="557" spans="24:33" x14ac:dyDescent="0.25">
      <c r="X557" s="86"/>
      <c r="AG557" s="94"/>
    </row>
    <row r="558" spans="24:33" x14ac:dyDescent="0.25">
      <c r="X558" s="86"/>
      <c r="AG558" s="94"/>
    </row>
    <row r="559" spans="24:33" x14ac:dyDescent="0.25">
      <c r="X559" s="86"/>
      <c r="AG559" s="94"/>
    </row>
    <row r="560" spans="24:33" x14ac:dyDescent="0.25">
      <c r="X560" s="86"/>
      <c r="AG560" s="94"/>
    </row>
    <row r="561" spans="24:33" x14ac:dyDescent="0.25">
      <c r="X561" s="86"/>
      <c r="AG561" s="94"/>
    </row>
    <row r="562" spans="24:33" x14ac:dyDescent="0.25">
      <c r="X562" s="86"/>
      <c r="AG562" s="94"/>
    </row>
    <row r="563" spans="24:33" x14ac:dyDescent="0.25">
      <c r="X563" s="86"/>
      <c r="AG563" s="94"/>
    </row>
    <row r="564" spans="24:33" x14ac:dyDescent="0.25">
      <c r="X564" s="86"/>
      <c r="AG564" s="94"/>
    </row>
    <row r="565" spans="24:33" x14ac:dyDescent="0.25">
      <c r="X565" s="86"/>
      <c r="AG565" s="94"/>
    </row>
    <row r="566" spans="24:33" x14ac:dyDescent="0.25">
      <c r="X566" s="86"/>
      <c r="AG566" s="94"/>
    </row>
    <row r="567" spans="24:33" x14ac:dyDescent="0.25">
      <c r="X567" s="86"/>
      <c r="AG567" s="94"/>
    </row>
    <row r="568" spans="24:33" x14ac:dyDescent="0.25">
      <c r="X568" s="86"/>
      <c r="AG568" s="94"/>
    </row>
    <row r="569" spans="24:33" x14ac:dyDescent="0.25">
      <c r="X569" s="86"/>
      <c r="AG569" s="94"/>
    </row>
    <row r="570" spans="24:33" x14ac:dyDescent="0.25">
      <c r="X570" s="86"/>
      <c r="AG570" s="94"/>
    </row>
    <row r="571" spans="24:33" x14ac:dyDescent="0.25">
      <c r="X571" s="86"/>
      <c r="AG571" s="94"/>
    </row>
    <row r="572" spans="24:33" x14ac:dyDescent="0.25">
      <c r="X572" s="86"/>
      <c r="AG572" s="94"/>
    </row>
    <row r="573" spans="24:33" x14ac:dyDescent="0.25">
      <c r="X573" s="86"/>
      <c r="AG573" s="94"/>
    </row>
    <row r="574" spans="24:33" x14ac:dyDescent="0.25">
      <c r="X574" s="86"/>
      <c r="AG574" s="94"/>
    </row>
    <row r="575" spans="24:33" x14ac:dyDescent="0.25">
      <c r="X575" s="86"/>
      <c r="AG575" s="94"/>
    </row>
    <row r="576" spans="24:33" x14ac:dyDescent="0.25">
      <c r="X576" s="86"/>
      <c r="AG576" s="94"/>
    </row>
    <row r="577" spans="24:33" x14ac:dyDescent="0.25">
      <c r="X577" s="86"/>
      <c r="AG577" s="94"/>
    </row>
    <row r="578" spans="24:33" x14ac:dyDescent="0.25">
      <c r="X578" s="86"/>
      <c r="AG578" s="94"/>
    </row>
    <row r="579" spans="24:33" x14ac:dyDescent="0.25">
      <c r="X579" s="86"/>
      <c r="AG579" s="94"/>
    </row>
    <row r="580" spans="24:33" x14ac:dyDescent="0.25">
      <c r="X580" s="86"/>
      <c r="AG580" s="94"/>
    </row>
    <row r="581" spans="24:33" x14ac:dyDescent="0.25">
      <c r="X581" s="86"/>
      <c r="AG581" s="94"/>
    </row>
    <row r="582" spans="24:33" x14ac:dyDescent="0.25">
      <c r="X582" s="86"/>
      <c r="AG582" s="94"/>
    </row>
    <row r="583" spans="24:33" x14ac:dyDescent="0.25">
      <c r="X583" s="86"/>
      <c r="AG583" s="94"/>
    </row>
    <row r="584" spans="24:33" x14ac:dyDescent="0.25">
      <c r="X584" s="86"/>
      <c r="AG584" s="94"/>
    </row>
    <row r="585" spans="24:33" x14ac:dyDescent="0.25">
      <c r="X585" s="86"/>
      <c r="AG585" s="94"/>
    </row>
    <row r="586" spans="24:33" x14ac:dyDescent="0.25">
      <c r="X586" s="86"/>
      <c r="AG586" s="94"/>
    </row>
    <row r="587" spans="24:33" x14ac:dyDescent="0.25">
      <c r="X587" s="86"/>
      <c r="AG587" s="94"/>
    </row>
    <row r="588" spans="24:33" x14ac:dyDescent="0.25">
      <c r="X588" s="86"/>
      <c r="AG588" s="94"/>
    </row>
    <row r="589" spans="24:33" x14ac:dyDescent="0.25">
      <c r="X589" s="86"/>
      <c r="AG589" s="94"/>
    </row>
    <row r="590" spans="24:33" x14ac:dyDescent="0.25">
      <c r="X590" s="86"/>
      <c r="AG590" s="94"/>
    </row>
    <row r="591" spans="24:33" x14ac:dyDescent="0.25">
      <c r="X591" s="86"/>
      <c r="AG591" s="94"/>
    </row>
    <row r="592" spans="24:33" x14ac:dyDescent="0.25">
      <c r="X592" s="86"/>
      <c r="AG592" s="94"/>
    </row>
    <row r="593" spans="24:33" x14ac:dyDescent="0.25">
      <c r="X593" s="86"/>
      <c r="AG593" s="94"/>
    </row>
    <row r="594" spans="24:33" x14ac:dyDescent="0.25">
      <c r="X594" s="86"/>
      <c r="AG594" s="94"/>
    </row>
    <row r="595" spans="24:33" x14ac:dyDescent="0.25">
      <c r="X595" s="86"/>
      <c r="AG595" s="94"/>
    </row>
    <row r="596" spans="24:33" x14ac:dyDescent="0.25">
      <c r="X596" s="86"/>
      <c r="AG596" s="94"/>
    </row>
    <row r="597" spans="24:33" x14ac:dyDescent="0.25">
      <c r="X597" s="86"/>
      <c r="AG597" s="94"/>
    </row>
    <row r="598" spans="24:33" x14ac:dyDescent="0.25">
      <c r="X598" s="86"/>
      <c r="AG598" s="94"/>
    </row>
    <row r="599" spans="24:33" x14ac:dyDescent="0.25">
      <c r="X599" s="86"/>
      <c r="AG599" s="94"/>
    </row>
    <row r="600" spans="24:33" x14ac:dyDescent="0.25">
      <c r="X600" s="86"/>
      <c r="AG600" s="94"/>
    </row>
    <row r="601" spans="24:33" x14ac:dyDescent="0.25">
      <c r="X601" s="86"/>
      <c r="AG601" s="94"/>
    </row>
    <row r="602" spans="24:33" x14ac:dyDescent="0.25">
      <c r="X602" s="86"/>
      <c r="AG602" s="94"/>
    </row>
    <row r="603" spans="24:33" x14ac:dyDescent="0.25">
      <c r="X603" s="86"/>
      <c r="AG603" s="94"/>
    </row>
    <row r="604" spans="24:33" x14ac:dyDescent="0.25">
      <c r="X604" s="86"/>
      <c r="AG604" s="94"/>
    </row>
    <row r="605" spans="24:33" x14ac:dyDescent="0.25">
      <c r="X605" s="86"/>
      <c r="AG605" s="94"/>
    </row>
    <row r="606" spans="24:33" x14ac:dyDescent="0.25">
      <c r="X606" s="86"/>
      <c r="AG606" s="94"/>
    </row>
    <row r="607" spans="24:33" x14ac:dyDescent="0.25">
      <c r="X607" s="86"/>
      <c r="AG607" s="94"/>
    </row>
    <row r="608" spans="24:33" x14ac:dyDescent="0.25">
      <c r="X608" s="86"/>
      <c r="AG608" s="94"/>
    </row>
    <row r="609" spans="24:33" x14ac:dyDescent="0.25">
      <c r="X609" s="86"/>
      <c r="AG609" s="94"/>
    </row>
    <row r="610" spans="24:33" x14ac:dyDescent="0.25">
      <c r="X610" s="86"/>
      <c r="AG610" s="94"/>
    </row>
    <row r="611" spans="24:33" x14ac:dyDescent="0.25">
      <c r="X611" s="86"/>
      <c r="AG611" s="94"/>
    </row>
    <row r="612" spans="24:33" x14ac:dyDescent="0.25">
      <c r="X612" s="86"/>
      <c r="AG612" s="94"/>
    </row>
    <row r="613" spans="24:33" x14ac:dyDescent="0.25">
      <c r="X613" s="86"/>
      <c r="AG613" s="94"/>
    </row>
    <row r="614" spans="24:33" x14ac:dyDescent="0.25">
      <c r="X614" s="86"/>
      <c r="AG614" s="94"/>
    </row>
    <row r="615" spans="24:33" x14ac:dyDescent="0.25">
      <c r="X615" s="86"/>
      <c r="AG615" s="94"/>
    </row>
    <row r="616" spans="24:33" x14ac:dyDescent="0.25">
      <c r="X616" s="86"/>
      <c r="AG616" s="94"/>
    </row>
    <row r="617" spans="24:33" x14ac:dyDescent="0.25">
      <c r="X617" s="86"/>
      <c r="AG617" s="94"/>
    </row>
    <row r="618" spans="24:33" x14ac:dyDescent="0.25">
      <c r="X618" s="86"/>
      <c r="AG618" s="94"/>
    </row>
    <row r="619" spans="24:33" x14ac:dyDescent="0.25">
      <c r="X619" s="86"/>
      <c r="AG619" s="94"/>
    </row>
    <row r="620" spans="24:33" x14ac:dyDescent="0.25">
      <c r="X620" s="86"/>
      <c r="AG620" s="94"/>
    </row>
    <row r="621" spans="24:33" x14ac:dyDescent="0.25">
      <c r="X621" s="86"/>
      <c r="AG621" s="94"/>
    </row>
    <row r="622" spans="24:33" x14ac:dyDescent="0.25">
      <c r="X622" s="86"/>
      <c r="AG622" s="94"/>
    </row>
    <row r="623" spans="24:33" x14ac:dyDescent="0.25">
      <c r="X623" s="86"/>
      <c r="AG623" s="94"/>
    </row>
    <row r="624" spans="24:33" x14ac:dyDescent="0.25">
      <c r="X624" s="86"/>
      <c r="AG624" s="94"/>
    </row>
    <row r="625" spans="24:33" x14ac:dyDescent="0.25">
      <c r="X625" s="86"/>
      <c r="AG625" s="94"/>
    </row>
    <row r="626" spans="24:33" x14ac:dyDescent="0.25">
      <c r="X626" s="86"/>
      <c r="AG626" s="94"/>
    </row>
    <row r="627" spans="24:33" x14ac:dyDescent="0.25">
      <c r="X627" s="86"/>
      <c r="AG627" s="94"/>
    </row>
    <row r="628" spans="24:33" x14ac:dyDescent="0.25">
      <c r="X628" s="86"/>
      <c r="AG628" s="94"/>
    </row>
    <row r="629" spans="24:33" x14ac:dyDescent="0.25">
      <c r="X629" s="86"/>
      <c r="AG629" s="94"/>
    </row>
    <row r="630" spans="24:33" x14ac:dyDescent="0.25">
      <c r="X630" s="86"/>
      <c r="AG630" s="94"/>
    </row>
    <row r="631" spans="24:33" x14ac:dyDescent="0.25">
      <c r="X631" s="86"/>
      <c r="AG631" s="94"/>
    </row>
    <row r="632" spans="24:33" x14ac:dyDescent="0.25">
      <c r="X632" s="86"/>
      <c r="AG632" s="94"/>
    </row>
    <row r="633" spans="24:33" x14ac:dyDescent="0.25">
      <c r="X633" s="86"/>
      <c r="AG633" s="94"/>
    </row>
    <row r="634" spans="24:33" x14ac:dyDescent="0.25">
      <c r="X634" s="86"/>
      <c r="AG634" s="94"/>
    </row>
    <row r="635" spans="24:33" x14ac:dyDescent="0.25">
      <c r="X635" s="86"/>
      <c r="AG635" s="94"/>
    </row>
    <row r="636" spans="24:33" x14ac:dyDescent="0.25">
      <c r="X636" s="86"/>
      <c r="AG636" s="94"/>
    </row>
    <row r="637" spans="24:33" x14ac:dyDescent="0.25">
      <c r="X637" s="86"/>
      <c r="AG637" s="94"/>
    </row>
    <row r="638" spans="24:33" x14ac:dyDescent="0.25">
      <c r="X638" s="86"/>
      <c r="AG638" s="94"/>
    </row>
    <row r="639" spans="24:33" x14ac:dyDescent="0.25">
      <c r="X639" s="86"/>
      <c r="AG639" s="94"/>
    </row>
    <row r="640" spans="24:33" x14ac:dyDescent="0.25">
      <c r="X640" s="86"/>
      <c r="AG640" s="94"/>
    </row>
    <row r="641" spans="24:33" x14ac:dyDescent="0.25">
      <c r="X641" s="86"/>
      <c r="AG641" s="94"/>
    </row>
    <row r="642" spans="24:33" x14ac:dyDescent="0.25">
      <c r="X642" s="86"/>
      <c r="AG642" s="94"/>
    </row>
    <row r="643" spans="24:33" x14ac:dyDescent="0.25">
      <c r="X643" s="86"/>
      <c r="AG643" s="94"/>
    </row>
    <row r="644" spans="24:33" x14ac:dyDescent="0.25">
      <c r="X644" s="86"/>
      <c r="AG644" s="94"/>
    </row>
    <row r="645" spans="24:33" x14ac:dyDescent="0.25">
      <c r="X645" s="86"/>
      <c r="AG645" s="94"/>
    </row>
    <row r="646" spans="24:33" x14ac:dyDescent="0.25">
      <c r="X646" s="86"/>
      <c r="AG646" s="94"/>
    </row>
    <row r="647" spans="24:33" x14ac:dyDescent="0.25">
      <c r="X647" s="86"/>
      <c r="AG647" s="94"/>
    </row>
    <row r="648" spans="24:33" x14ac:dyDescent="0.25">
      <c r="X648" s="86"/>
      <c r="AG648" s="94"/>
    </row>
    <row r="649" spans="24:33" x14ac:dyDescent="0.25">
      <c r="X649" s="86"/>
      <c r="AG649" s="94"/>
    </row>
    <row r="650" spans="24:33" x14ac:dyDescent="0.25">
      <c r="X650" s="86"/>
      <c r="AG650" s="94"/>
    </row>
    <row r="651" spans="24:33" x14ac:dyDescent="0.25">
      <c r="X651" s="86"/>
      <c r="AG651" s="94"/>
    </row>
    <row r="652" spans="24:33" x14ac:dyDescent="0.25">
      <c r="X652" s="86"/>
      <c r="AG652" s="94"/>
    </row>
    <row r="653" spans="24:33" x14ac:dyDescent="0.25">
      <c r="X653" s="86"/>
      <c r="AG653" s="94"/>
    </row>
    <row r="654" spans="24:33" x14ac:dyDescent="0.25">
      <c r="X654" s="86"/>
      <c r="AG654" s="94"/>
    </row>
    <row r="655" spans="24:33" x14ac:dyDescent="0.25">
      <c r="X655" s="86"/>
      <c r="AG655" s="94"/>
    </row>
    <row r="656" spans="24:33" x14ac:dyDescent="0.25">
      <c r="X656" s="86"/>
      <c r="AG656" s="94"/>
    </row>
    <row r="657" spans="24:33" x14ac:dyDescent="0.25">
      <c r="X657" s="86"/>
      <c r="AG657" s="94"/>
    </row>
    <row r="658" spans="24:33" x14ac:dyDescent="0.25">
      <c r="X658" s="86"/>
      <c r="AG658" s="94"/>
    </row>
    <row r="659" spans="24:33" x14ac:dyDescent="0.25">
      <c r="X659" s="86"/>
      <c r="AG659" s="94"/>
    </row>
    <row r="660" spans="24:33" x14ac:dyDescent="0.25">
      <c r="X660" s="86"/>
      <c r="AG660" s="94"/>
    </row>
    <row r="661" spans="24:33" x14ac:dyDescent="0.25">
      <c r="X661" s="86"/>
      <c r="AG661" s="94"/>
    </row>
    <row r="662" spans="24:33" x14ac:dyDescent="0.25">
      <c r="X662" s="86"/>
      <c r="AG662" s="94"/>
    </row>
    <row r="663" spans="24:33" x14ac:dyDescent="0.25">
      <c r="X663" s="86"/>
      <c r="AG663" s="94"/>
    </row>
    <row r="664" spans="24:33" x14ac:dyDescent="0.25">
      <c r="X664" s="86"/>
      <c r="AG664" s="94"/>
    </row>
    <row r="665" spans="24:33" x14ac:dyDescent="0.25">
      <c r="X665" s="86"/>
      <c r="AG665" s="94"/>
    </row>
    <row r="666" spans="24:33" x14ac:dyDescent="0.25">
      <c r="X666" s="86"/>
      <c r="AG666" s="94"/>
    </row>
    <row r="667" spans="24:33" x14ac:dyDescent="0.25">
      <c r="X667" s="86"/>
      <c r="AG667" s="94"/>
    </row>
    <row r="668" spans="24:33" x14ac:dyDescent="0.25">
      <c r="X668" s="86"/>
      <c r="AG668" s="94"/>
    </row>
    <row r="669" spans="24:33" x14ac:dyDescent="0.25">
      <c r="X669" s="86"/>
      <c r="AG669" s="94"/>
    </row>
    <row r="670" spans="24:33" x14ac:dyDescent="0.25">
      <c r="X670" s="86"/>
      <c r="AG670" s="94"/>
    </row>
    <row r="671" spans="24:33" x14ac:dyDescent="0.25">
      <c r="X671" s="86"/>
      <c r="AG671" s="94"/>
    </row>
    <row r="672" spans="24:33" x14ac:dyDescent="0.25">
      <c r="X672" s="86"/>
      <c r="AG672" s="94"/>
    </row>
    <row r="673" spans="24:33" x14ac:dyDescent="0.25">
      <c r="X673" s="86"/>
      <c r="AG673" s="94"/>
    </row>
    <row r="674" spans="24:33" x14ac:dyDescent="0.25">
      <c r="X674" s="86"/>
      <c r="AG674" s="94"/>
    </row>
    <row r="675" spans="24:33" x14ac:dyDescent="0.25">
      <c r="X675" s="86"/>
      <c r="AG675" s="94"/>
    </row>
    <row r="676" spans="24:33" x14ac:dyDescent="0.25">
      <c r="X676" s="86"/>
      <c r="AG676" s="94"/>
    </row>
    <row r="677" spans="24:33" x14ac:dyDescent="0.25">
      <c r="X677" s="86"/>
      <c r="AG677" s="94"/>
    </row>
    <row r="678" spans="24:33" x14ac:dyDescent="0.25">
      <c r="X678" s="86"/>
      <c r="AG678" s="94"/>
    </row>
    <row r="679" spans="24:33" x14ac:dyDescent="0.25">
      <c r="X679" s="86"/>
      <c r="AG679" s="94"/>
    </row>
    <row r="680" spans="24:33" x14ac:dyDescent="0.25">
      <c r="X680" s="86"/>
      <c r="AG680" s="94"/>
    </row>
    <row r="681" spans="24:33" x14ac:dyDescent="0.25">
      <c r="X681" s="86"/>
      <c r="AG681" s="94"/>
    </row>
    <row r="682" spans="24:33" x14ac:dyDescent="0.25">
      <c r="X682" s="86"/>
      <c r="AG682" s="94"/>
    </row>
    <row r="683" spans="24:33" x14ac:dyDescent="0.25">
      <c r="X683" s="86"/>
      <c r="AG683" s="94"/>
    </row>
    <row r="684" spans="24:33" x14ac:dyDescent="0.25">
      <c r="X684" s="86"/>
      <c r="AG684" s="94"/>
    </row>
    <row r="685" spans="24:33" x14ac:dyDescent="0.25">
      <c r="X685" s="86"/>
      <c r="AG685" s="94"/>
    </row>
    <row r="686" spans="24:33" x14ac:dyDescent="0.25">
      <c r="X686" s="86"/>
      <c r="AG686" s="94"/>
    </row>
    <row r="687" spans="24:33" x14ac:dyDescent="0.25">
      <c r="X687" s="86"/>
      <c r="AG687" s="94"/>
    </row>
    <row r="688" spans="24:33" x14ac:dyDescent="0.25">
      <c r="X688" s="86"/>
      <c r="AG688" s="94"/>
    </row>
    <row r="689" spans="24:33" x14ac:dyDescent="0.25">
      <c r="X689" s="86"/>
      <c r="AG689" s="94"/>
    </row>
    <row r="690" spans="24:33" x14ac:dyDescent="0.25">
      <c r="X690" s="86"/>
      <c r="AG690" s="94"/>
    </row>
    <row r="691" spans="24:33" x14ac:dyDescent="0.25">
      <c r="X691" s="86"/>
      <c r="AG691" s="94"/>
    </row>
    <row r="692" spans="24:33" x14ac:dyDescent="0.25">
      <c r="X692" s="86"/>
      <c r="AG692" s="94"/>
    </row>
    <row r="693" spans="24:33" x14ac:dyDescent="0.25">
      <c r="X693" s="86"/>
      <c r="AG693" s="94"/>
    </row>
    <row r="694" spans="24:33" x14ac:dyDescent="0.25">
      <c r="X694" s="86"/>
      <c r="AG694" s="94"/>
    </row>
    <row r="695" spans="24:33" x14ac:dyDescent="0.25">
      <c r="X695" s="86"/>
      <c r="AG695" s="94"/>
    </row>
    <row r="696" spans="24:33" x14ac:dyDescent="0.25">
      <c r="X696" s="86"/>
      <c r="AG696" s="94"/>
    </row>
    <row r="697" spans="24:33" x14ac:dyDescent="0.25">
      <c r="X697" s="86"/>
      <c r="AG697" s="94"/>
    </row>
    <row r="698" spans="24:33" x14ac:dyDescent="0.25">
      <c r="X698" s="86"/>
      <c r="AG698" s="94"/>
    </row>
    <row r="699" spans="24:33" x14ac:dyDescent="0.25">
      <c r="X699" s="86"/>
      <c r="AG699" s="94"/>
    </row>
    <row r="700" spans="24:33" x14ac:dyDescent="0.25">
      <c r="X700" s="86"/>
      <c r="AG700" s="94"/>
    </row>
    <row r="701" spans="24:33" x14ac:dyDescent="0.25">
      <c r="X701" s="86"/>
      <c r="AG701" s="94"/>
    </row>
    <row r="702" spans="24:33" x14ac:dyDescent="0.25">
      <c r="X702" s="86"/>
      <c r="AG702" s="94"/>
    </row>
    <row r="703" spans="24:33" x14ac:dyDescent="0.25">
      <c r="X703" s="86"/>
      <c r="AG703" s="94"/>
    </row>
    <row r="704" spans="24:33" x14ac:dyDescent="0.25">
      <c r="X704" s="86"/>
      <c r="AG704" s="94"/>
    </row>
    <row r="705" spans="24:33" x14ac:dyDescent="0.25">
      <c r="X705" s="86"/>
      <c r="AG705" s="94"/>
    </row>
    <row r="706" spans="24:33" x14ac:dyDescent="0.25">
      <c r="X706" s="86"/>
      <c r="AG706" s="94"/>
    </row>
    <row r="707" spans="24:33" x14ac:dyDescent="0.25">
      <c r="X707" s="86"/>
      <c r="AG707" s="94"/>
    </row>
    <row r="708" spans="24:33" x14ac:dyDescent="0.25">
      <c r="X708" s="86"/>
      <c r="AG708" s="94"/>
    </row>
    <row r="709" spans="24:33" x14ac:dyDescent="0.25">
      <c r="X709" s="86"/>
      <c r="AG709" s="94"/>
    </row>
    <row r="710" spans="24:33" x14ac:dyDescent="0.25">
      <c r="X710" s="86"/>
      <c r="AG710" s="94"/>
    </row>
    <row r="711" spans="24:33" x14ac:dyDescent="0.25">
      <c r="X711" s="86"/>
      <c r="AG711" s="94"/>
    </row>
    <row r="712" spans="24:33" x14ac:dyDescent="0.25">
      <c r="X712" s="86"/>
      <c r="AG712" s="94"/>
    </row>
    <row r="713" spans="24:33" x14ac:dyDescent="0.25">
      <c r="X713" s="86"/>
      <c r="AG713" s="94"/>
    </row>
    <row r="714" spans="24:33" x14ac:dyDescent="0.25">
      <c r="X714" s="86"/>
      <c r="AG714" s="94"/>
    </row>
    <row r="715" spans="24:33" x14ac:dyDescent="0.25">
      <c r="X715" s="86"/>
      <c r="AG715" s="94"/>
    </row>
    <row r="716" spans="24:33" x14ac:dyDescent="0.25">
      <c r="X716" s="86"/>
      <c r="AG716" s="94"/>
    </row>
    <row r="717" spans="24:33" x14ac:dyDescent="0.25">
      <c r="X717" s="86"/>
      <c r="AG717" s="94"/>
    </row>
    <row r="718" spans="24:33" x14ac:dyDescent="0.25">
      <c r="X718" s="86"/>
      <c r="AG718" s="94"/>
    </row>
    <row r="719" spans="24:33" x14ac:dyDescent="0.25">
      <c r="X719" s="86"/>
      <c r="AG719" s="94"/>
    </row>
    <row r="720" spans="24:33" x14ac:dyDescent="0.25">
      <c r="X720" s="86"/>
      <c r="AG720" s="94"/>
    </row>
    <row r="721" spans="24:33" x14ac:dyDescent="0.25">
      <c r="X721" s="86"/>
      <c r="AG721" s="94"/>
    </row>
    <row r="722" spans="24:33" x14ac:dyDescent="0.25">
      <c r="X722" s="86"/>
      <c r="AG722" s="94"/>
    </row>
    <row r="723" spans="24:33" x14ac:dyDescent="0.25">
      <c r="X723" s="86"/>
      <c r="AG723" s="94"/>
    </row>
    <row r="724" spans="24:33" x14ac:dyDescent="0.25">
      <c r="X724" s="86"/>
      <c r="AG724" s="94"/>
    </row>
    <row r="725" spans="24:33" x14ac:dyDescent="0.25">
      <c r="X725" s="86"/>
      <c r="AG725" s="94"/>
    </row>
    <row r="726" spans="24:33" x14ac:dyDescent="0.25">
      <c r="X726" s="86"/>
      <c r="AG726" s="94"/>
    </row>
    <row r="727" spans="24:33" x14ac:dyDescent="0.25">
      <c r="X727" s="86"/>
      <c r="AG727" s="94"/>
    </row>
    <row r="728" spans="24:33" x14ac:dyDescent="0.25">
      <c r="X728" s="86"/>
      <c r="AG728" s="94"/>
    </row>
    <row r="729" spans="24:33" x14ac:dyDescent="0.25">
      <c r="X729" s="86"/>
      <c r="AG729" s="94"/>
    </row>
    <row r="730" spans="24:33" x14ac:dyDescent="0.25">
      <c r="X730" s="86"/>
      <c r="AG730" s="94"/>
    </row>
    <row r="731" spans="24:33" x14ac:dyDescent="0.25">
      <c r="X731" s="86"/>
      <c r="AG731" s="94"/>
    </row>
    <row r="732" spans="24:33" x14ac:dyDescent="0.25">
      <c r="X732" s="86"/>
      <c r="AG732" s="94"/>
    </row>
    <row r="733" spans="24:33" x14ac:dyDescent="0.25">
      <c r="X733" s="86"/>
      <c r="AG733" s="94"/>
    </row>
    <row r="734" spans="24:33" x14ac:dyDescent="0.25">
      <c r="X734" s="86"/>
      <c r="AG734" s="94"/>
    </row>
    <row r="735" spans="24:33" x14ac:dyDescent="0.25">
      <c r="X735" s="86"/>
      <c r="AG735" s="94"/>
    </row>
    <row r="736" spans="24:33" x14ac:dyDescent="0.25">
      <c r="X736" s="86"/>
      <c r="AG736" s="94"/>
    </row>
    <row r="737" spans="24:33" x14ac:dyDescent="0.25">
      <c r="X737" s="86"/>
      <c r="AG737" s="94"/>
    </row>
    <row r="738" spans="24:33" x14ac:dyDescent="0.25">
      <c r="X738" s="86"/>
      <c r="AG738" s="94"/>
    </row>
    <row r="739" spans="24:33" x14ac:dyDescent="0.25">
      <c r="X739" s="86"/>
      <c r="AG739" s="94"/>
    </row>
    <row r="740" spans="24:33" x14ac:dyDescent="0.25">
      <c r="X740" s="86"/>
      <c r="AG740" s="94"/>
    </row>
    <row r="741" spans="24:33" x14ac:dyDescent="0.25">
      <c r="X741" s="86"/>
      <c r="AG741" s="94"/>
    </row>
    <row r="742" spans="24:33" x14ac:dyDescent="0.25">
      <c r="X742" s="86"/>
      <c r="AG742" s="94"/>
    </row>
    <row r="743" spans="24:33" x14ac:dyDescent="0.25">
      <c r="X743" s="86"/>
      <c r="AG743" s="94"/>
    </row>
    <row r="744" spans="24:33" x14ac:dyDescent="0.25">
      <c r="X744" s="86"/>
      <c r="AG744" s="94"/>
    </row>
    <row r="745" spans="24:33" x14ac:dyDescent="0.25">
      <c r="X745" s="86"/>
      <c r="AG745" s="94"/>
    </row>
    <row r="746" spans="24:33" x14ac:dyDescent="0.25">
      <c r="X746" s="86"/>
      <c r="AG746" s="94"/>
    </row>
    <row r="747" spans="24:33" x14ac:dyDescent="0.25">
      <c r="X747" s="86"/>
      <c r="AG747" s="94"/>
    </row>
    <row r="748" spans="24:33" x14ac:dyDescent="0.25">
      <c r="X748" s="86"/>
      <c r="AG748" s="94"/>
    </row>
    <row r="749" spans="24:33" x14ac:dyDescent="0.25">
      <c r="X749" s="86"/>
      <c r="AG749" s="94"/>
    </row>
    <row r="750" spans="24:33" x14ac:dyDescent="0.25">
      <c r="X750" s="86"/>
      <c r="AG750" s="94"/>
    </row>
    <row r="751" spans="24:33" x14ac:dyDescent="0.25">
      <c r="X751" s="86"/>
      <c r="AG751" s="94"/>
    </row>
    <row r="752" spans="24:33" x14ac:dyDescent="0.25">
      <c r="X752" s="86"/>
      <c r="AG752" s="94"/>
    </row>
    <row r="753" spans="24:33" x14ac:dyDescent="0.25">
      <c r="X753" s="86"/>
      <c r="AG753" s="94"/>
    </row>
    <row r="754" spans="24:33" x14ac:dyDescent="0.25">
      <c r="X754" s="86"/>
      <c r="AG754" s="94"/>
    </row>
    <row r="755" spans="24:33" x14ac:dyDescent="0.25">
      <c r="X755" s="86"/>
      <c r="AG755" s="94"/>
    </row>
    <row r="756" spans="24:33" x14ac:dyDescent="0.25">
      <c r="X756" s="86"/>
      <c r="AG756" s="94"/>
    </row>
    <row r="757" spans="24:33" x14ac:dyDescent="0.25">
      <c r="X757" s="86"/>
      <c r="AG757" s="94"/>
    </row>
    <row r="758" spans="24:33" x14ac:dyDescent="0.25">
      <c r="X758" s="86"/>
      <c r="AG758" s="94"/>
    </row>
    <row r="759" spans="24:33" x14ac:dyDescent="0.25">
      <c r="X759" s="86"/>
      <c r="AG759" s="94"/>
    </row>
    <row r="760" spans="24:33" x14ac:dyDescent="0.25">
      <c r="X760" s="86"/>
      <c r="AG760" s="94"/>
    </row>
    <row r="761" spans="24:33" x14ac:dyDescent="0.25">
      <c r="X761" s="86"/>
      <c r="AG761" s="94"/>
    </row>
    <row r="762" spans="24:33" x14ac:dyDescent="0.25">
      <c r="X762" s="86"/>
      <c r="AG762" s="94"/>
    </row>
    <row r="763" spans="24:33" x14ac:dyDescent="0.25">
      <c r="X763" s="86"/>
      <c r="AG763" s="94"/>
    </row>
    <row r="764" spans="24:33" x14ac:dyDescent="0.25">
      <c r="X764" s="86"/>
      <c r="AG764" s="94"/>
    </row>
    <row r="765" spans="24:33" x14ac:dyDescent="0.25">
      <c r="X765" s="86"/>
      <c r="AG765" s="94"/>
    </row>
    <row r="766" spans="24:33" x14ac:dyDescent="0.25">
      <c r="X766" s="86"/>
      <c r="AG766" s="94"/>
    </row>
    <row r="767" spans="24:33" x14ac:dyDescent="0.25">
      <c r="X767" s="86"/>
      <c r="AG767" s="94"/>
    </row>
    <row r="768" spans="24:33" x14ac:dyDescent="0.25">
      <c r="X768" s="86"/>
      <c r="AG768" s="94"/>
    </row>
    <row r="769" spans="24:33" x14ac:dyDescent="0.25">
      <c r="X769" s="86"/>
      <c r="AG769" s="94"/>
    </row>
    <row r="770" spans="24:33" x14ac:dyDescent="0.25">
      <c r="X770" s="86"/>
      <c r="AG770" s="94"/>
    </row>
    <row r="771" spans="24:33" x14ac:dyDescent="0.25">
      <c r="X771" s="86"/>
      <c r="AG771" s="94"/>
    </row>
    <row r="772" spans="24:33" x14ac:dyDescent="0.25">
      <c r="X772" s="86"/>
      <c r="AG772" s="94"/>
    </row>
    <row r="773" spans="24:33" x14ac:dyDescent="0.25">
      <c r="X773" s="86"/>
      <c r="AG773" s="94"/>
    </row>
    <row r="774" spans="24:33" x14ac:dyDescent="0.25">
      <c r="X774" s="86"/>
      <c r="AG774" s="94"/>
    </row>
    <row r="775" spans="24:33" x14ac:dyDescent="0.25">
      <c r="X775" s="86"/>
      <c r="AG775" s="94"/>
    </row>
    <row r="776" spans="24:33" x14ac:dyDescent="0.25">
      <c r="X776" s="86"/>
      <c r="AG776" s="94"/>
    </row>
    <row r="777" spans="24:33" x14ac:dyDescent="0.25">
      <c r="X777" s="86"/>
      <c r="AG777" s="94"/>
    </row>
    <row r="778" spans="24:33" x14ac:dyDescent="0.25">
      <c r="X778" s="86"/>
      <c r="AG778" s="94"/>
    </row>
    <row r="779" spans="24:33" x14ac:dyDescent="0.25">
      <c r="X779" s="86"/>
      <c r="AG779" s="94"/>
    </row>
    <row r="780" spans="24:33" x14ac:dyDescent="0.25">
      <c r="X780" s="86"/>
      <c r="AG780" s="94"/>
    </row>
    <row r="781" spans="24:33" x14ac:dyDescent="0.25">
      <c r="X781" s="86"/>
      <c r="AG781" s="94"/>
    </row>
    <row r="782" spans="24:33" x14ac:dyDescent="0.25">
      <c r="X782" s="86"/>
      <c r="AG782" s="94"/>
    </row>
    <row r="783" spans="24:33" x14ac:dyDescent="0.25">
      <c r="X783" s="86"/>
      <c r="AG783" s="94"/>
    </row>
    <row r="784" spans="24:33" x14ac:dyDescent="0.25">
      <c r="X784" s="86"/>
      <c r="AG784" s="94"/>
    </row>
    <row r="785" spans="24:33" x14ac:dyDescent="0.25">
      <c r="X785" s="86"/>
      <c r="AG785" s="94"/>
    </row>
    <row r="786" spans="24:33" x14ac:dyDescent="0.25">
      <c r="X786" s="86"/>
      <c r="AG786" s="94"/>
    </row>
    <row r="787" spans="24:33" x14ac:dyDescent="0.25">
      <c r="X787" s="86"/>
      <c r="AG787" s="94"/>
    </row>
    <row r="788" spans="24:33" x14ac:dyDescent="0.25">
      <c r="X788" s="86"/>
      <c r="AG788" s="94"/>
    </row>
    <row r="789" spans="24:33" x14ac:dyDescent="0.25">
      <c r="X789" s="86"/>
      <c r="AG789" s="94"/>
    </row>
    <row r="790" spans="24:33" x14ac:dyDescent="0.25">
      <c r="X790" s="86"/>
      <c r="AG790" s="94"/>
    </row>
    <row r="791" spans="24:33" x14ac:dyDescent="0.25">
      <c r="X791" s="86"/>
      <c r="AG791" s="94"/>
    </row>
    <row r="792" spans="24:33" x14ac:dyDescent="0.25">
      <c r="X792" s="86"/>
      <c r="AG792" s="94"/>
    </row>
    <row r="793" spans="24:33" x14ac:dyDescent="0.25">
      <c r="X793" s="86"/>
      <c r="AG793" s="94"/>
    </row>
    <row r="794" spans="24:33" x14ac:dyDescent="0.25">
      <c r="X794" s="86"/>
      <c r="AG794" s="94"/>
    </row>
    <row r="795" spans="24:33" x14ac:dyDescent="0.25">
      <c r="X795" s="86"/>
      <c r="AG795" s="94"/>
    </row>
    <row r="796" spans="24:33" x14ac:dyDescent="0.25">
      <c r="X796" s="86"/>
      <c r="AG796" s="94"/>
    </row>
    <row r="797" spans="24:33" x14ac:dyDescent="0.25">
      <c r="X797" s="86"/>
      <c r="AG797" s="94"/>
    </row>
    <row r="798" spans="24:33" x14ac:dyDescent="0.25">
      <c r="X798" s="86"/>
      <c r="AG798" s="94"/>
    </row>
    <row r="799" spans="24:33" x14ac:dyDescent="0.25">
      <c r="X799" s="86"/>
      <c r="AG799" s="94"/>
    </row>
    <row r="800" spans="24:33" x14ac:dyDescent="0.25">
      <c r="X800" s="86"/>
      <c r="AG800" s="94"/>
    </row>
    <row r="801" spans="24:33" x14ac:dyDescent="0.25">
      <c r="X801" s="86"/>
      <c r="AG801" s="94"/>
    </row>
    <row r="802" spans="24:33" x14ac:dyDescent="0.25">
      <c r="X802" s="86"/>
      <c r="AG802" s="94"/>
    </row>
    <row r="803" spans="24:33" x14ac:dyDescent="0.25">
      <c r="X803" s="86"/>
      <c r="AG803" s="94"/>
    </row>
    <row r="804" spans="24:33" x14ac:dyDescent="0.25">
      <c r="X804" s="86"/>
      <c r="AG804" s="94"/>
    </row>
    <row r="805" spans="24:33" x14ac:dyDescent="0.25">
      <c r="X805" s="86"/>
      <c r="AG805" s="94"/>
    </row>
    <row r="806" spans="24:33" x14ac:dyDescent="0.25">
      <c r="X806" s="86"/>
      <c r="AG806" s="94"/>
    </row>
    <row r="807" spans="24:33" x14ac:dyDescent="0.25">
      <c r="X807" s="86"/>
      <c r="AG807" s="94"/>
    </row>
    <row r="808" spans="24:33" x14ac:dyDescent="0.25">
      <c r="X808" s="86"/>
      <c r="AG808" s="94"/>
    </row>
    <row r="809" spans="24:33" x14ac:dyDescent="0.25">
      <c r="X809" s="86"/>
      <c r="AG809" s="94"/>
    </row>
    <row r="810" spans="24:33" x14ac:dyDescent="0.25">
      <c r="X810" s="86"/>
      <c r="AG810" s="94"/>
    </row>
    <row r="811" spans="24:33" x14ac:dyDescent="0.25">
      <c r="X811" s="86"/>
      <c r="AG811" s="94"/>
    </row>
    <row r="812" spans="24:33" x14ac:dyDescent="0.25">
      <c r="X812" s="86"/>
      <c r="AG812" s="94"/>
    </row>
    <row r="813" spans="24:33" x14ac:dyDescent="0.25">
      <c r="X813" s="86"/>
      <c r="AG813" s="94"/>
    </row>
    <row r="814" spans="24:33" x14ac:dyDescent="0.25">
      <c r="X814" s="86"/>
      <c r="AG814" s="94"/>
    </row>
    <row r="815" spans="24:33" x14ac:dyDescent="0.25">
      <c r="X815" s="86"/>
      <c r="AG815" s="94"/>
    </row>
    <row r="816" spans="24:33" x14ac:dyDescent="0.25">
      <c r="X816" s="86"/>
      <c r="AG816" s="94"/>
    </row>
    <row r="817" spans="24:33" x14ac:dyDescent="0.25">
      <c r="X817" s="86"/>
      <c r="AG817" s="94"/>
    </row>
    <row r="818" spans="24:33" x14ac:dyDescent="0.25">
      <c r="X818" s="86"/>
      <c r="AG818" s="94"/>
    </row>
    <row r="819" spans="24:33" x14ac:dyDescent="0.25">
      <c r="X819" s="86"/>
      <c r="AG819" s="94"/>
    </row>
    <row r="820" spans="24:33" x14ac:dyDescent="0.25">
      <c r="X820" s="86"/>
      <c r="AG820" s="94"/>
    </row>
    <row r="821" spans="24:33" x14ac:dyDescent="0.25">
      <c r="X821" s="86"/>
      <c r="AG821" s="94"/>
    </row>
    <row r="822" spans="24:33" x14ac:dyDescent="0.25">
      <c r="X822" s="86"/>
      <c r="AG822" s="94"/>
    </row>
    <row r="823" spans="24:33" x14ac:dyDescent="0.25">
      <c r="X823" s="86"/>
      <c r="AG823" s="94"/>
    </row>
    <row r="824" spans="24:33" x14ac:dyDescent="0.25">
      <c r="X824" s="86"/>
      <c r="AG824" s="94"/>
    </row>
    <row r="825" spans="24:33" x14ac:dyDescent="0.25">
      <c r="X825" s="86"/>
      <c r="AG825" s="94"/>
    </row>
    <row r="826" spans="24:33" x14ac:dyDescent="0.25">
      <c r="X826" s="86"/>
      <c r="AG826" s="94"/>
    </row>
    <row r="827" spans="24:33" x14ac:dyDescent="0.25">
      <c r="X827" s="86"/>
      <c r="AG827" s="94"/>
    </row>
    <row r="828" spans="24:33" x14ac:dyDescent="0.25">
      <c r="X828" s="86"/>
      <c r="AG828" s="94"/>
    </row>
    <row r="829" spans="24:33" x14ac:dyDescent="0.25">
      <c r="X829" s="86"/>
      <c r="AG829" s="94"/>
    </row>
    <row r="830" spans="24:33" x14ac:dyDescent="0.25">
      <c r="X830" s="86"/>
      <c r="AG830" s="94"/>
    </row>
    <row r="831" spans="24:33" x14ac:dyDescent="0.25">
      <c r="X831" s="86"/>
    </row>
    <row r="832" spans="24:33" x14ac:dyDescent="0.25">
      <c r="X832" s="86"/>
    </row>
    <row r="833" spans="24:24" x14ac:dyDescent="0.25">
      <c r="X833" s="86"/>
    </row>
    <row r="834" spans="24:24" x14ac:dyDescent="0.25">
      <c r="X834" s="86"/>
    </row>
    <row r="835" spans="24:24" x14ac:dyDescent="0.25">
      <c r="X835" s="86"/>
    </row>
    <row r="836" spans="24:24" x14ac:dyDescent="0.25">
      <c r="X836" s="86"/>
    </row>
  </sheetData>
  <sheetProtection sheet="1" objects="1" scenarios="1"/>
  <mergeCells count="1">
    <mergeCell ref="B12:M12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8B24-1870-4BAE-9950-4220E27750B3}">
  <dimension ref="A1:AG836"/>
  <sheetViews>
    <sheetView showGridLines="0" topLeftCell="B34" workbookViewId="0">
      <selection activeCell="B50" sqref="B50"/>
    </sheetView>
  </sheetViews>
  <sheetFormatPr defaultColWidth="9.140625" defaultRowHeight="15" x14ac:dyDescent="0.25"/>
  <cols>
    <col min="1" max="1" width="0" style="4" hidden="1" customWidth="1"/>
    <col min="2" max="2" width="10.42578125" style="4" customWidth="1"/>
    <col min="3" max="3" width="9.5703125" style="4" bestFit="1" customWidth="1"/>
    <col min="4" max="4" width="8.42578125" style="4" customWidth="1"/>
    <col min="5" max="5" width="7.140625" style="71" customWidth="1"/>
    <col min="6" max="6" width="42.5703125" style="4" customWidth="1"/>
    <col min="7" max="7" width="6.5703125" style="4" bestFit="1" customWidth="1"/>
    <col min="8" max="8" width="7.7109375" style="4" bestFit="1" customWidth="1"/>
    <col min="9" max="9" width="7.42578125" style="4" customWidth="1"/>
    <col min="10" max="12" width="8" style="4" customWidth="1"/>
    <col min="13" max="13" width="8.42578125" style="4" bestFit="1" customWidth="1"/>
    <col min="14" max="14" width="10.42578125" style="4" bestFit="1" customWidth="1"/>
    <col min="15" max="15" width="10.42578125" style="4" customWidth="1"/>
    <col min="16" max="16" width="17.42578125" style="85" hidden="1" customWidth="1"/>
    <col min="17" max="17" width="12.28515625" style="86" hidden="1" customWidth="1"/>
    <col min="18" max="18" width="39.5703125" style="85" hidden="1" customWidth="1"/>
    <col min="19" max="19" width="4.28515625" style="86" hidden="1" customWidth="1"/>
    <col min="20" max="23" width="7.5703125" style="86" hidden="1" customWidth="1"/>
    <col min="24" max="25" width="9.140625" style="126" hidden="1" customWidth="1"/>
    <col min="26" max="26" width="17.28515625" style="94" hidden="1" customWidth="1"/>
    <col min="27" max="27" width="39.5703125" style="94" hidden="1" customWidth="1"/>
    <col min="28" max="28" width="4.28515625" style="94" hidden="1" customWidth="1"/>
    <col min="29" max="29" width="7.5703125" style="99" hidden="1" customWidth="1"/>
    <col min="30" max="32" width="7.5703125" style="94" hidden="1" customWidth="1"/>
    <col min="33" max="34" width="0" style="4" hidden="1" customWidth="1"/>
    <col min="35" max="16384" width="9.140625" style="4"/>
  </cols>
  <sheetData>
    <row r="1" spans="2:33" x14ac:dyDescent="0.25">
      <c r="B1" s="4" t="s">
        <v>191</v>
      </c>
      <c r="Q1" s="101"/>
      <c r="X1" s="86"/>
      <c r="AG1" s="94"/>
    </row>
    <row r="2" spans="2:33" ht="18.75" x14ac:dyDescent="0.3">
      <c r="B2" s="1" t="s">
        <v>88</v>
      </c>
      <c r="C2" s="2"/>
      <c r="D2" s="2"/>
      <c r="E2" s="64"/>
      <c r="F2" s="2"/>
      <c r="G2" s="2"/>
      <c r="H2" s="3"/>
      <c r="I2" s="3"/>
      <c r="J2" s="3"/>
      <c r="P2" s="85" t="s">
        <v>208</v>
      </c>
      <c r="Q2" s="101">
        <v>1.03</v>
      </c>
      <c r="R2" s="107"/>
      <c r="S2" s="91"/>
      <c r="X2" s="86"/>
      <c r="AG2" s="94"/>
    </row>
    <row r="3" spans="2:33" x14ac:dyDescent="0.25">
      <c r="B3" s="114" t="s">
        <v>210</v>
      </c>
      <c r="C3" s="2"/>
      <c r="D3" s="2"/>
      <c r="E3" s="64"/>
      <c r="F3" s="2"/>
      <c r="G3" s="2"/>
      <c r="H3" s="3"/>
      <c r="I3" s="3"/>
      <c r="J3" s="3"/>
      <c r="P3" s="85" t="s">
        <v>143</v>
      </c>
      <c r="Q3" s="102" t="s">
        <v>207</v>
      </c>
      <c r="X3" s="86"/>
      <c r="AG3" s="94"/>
    </row>
    <row r="4" spans="2:33" x14ac:dyDescent="0.25">
      <c r="B4" s="115" t="s">
        <v>74</v>
      </c>
      <c r="C4" s="2"/>
      <c r="D4" s="2"/>
      <c r="E4" s="64"/>
      <c r="F4" s="2"/>
      <c r="G4" s="2"/>
      <c r="H4" s="3"/>
      <c r="I4" s="3"/>
      <c r="J4" s="3"/>
      <c r="Q4" s="91"/>
      <c r="X4" s="86"/>
      <c r="AG4" s="94"/>
    </row>
    <row r="5" spans="2:33" x14ac:dyDescent="0.25">
      <c r="B5" s="121" t="s">
        <v>211</v>
      </c>
      <c r="C5" s="2"/>
      <c r="D5" s="2"/>
      <c r="E5" s="64"/>
      <c r="F5" s="2"/>
      <c r="G5" s="2"/>
      <c r="H5" s="3"/>
      <c r="I5" s="3"/>
      <c r="J5" s="3"/>
      <c r="Q5" s="91"/>
      <c r="T5" s="86">
        <v>4</v>
      </c>
      <c r="U5" s="86">
        <v>5</v>
      </c>
      <c r="V5" s="86">
        <v>6</v>
      </c>
      <c r="W5" s="86">
        <v>7</v>
      </c>
      <c r="X5" s="86"/>
      <c r="Z5" s="94" t="s">
        <v>195</v>
      </c>
      <c r="AG5" s="94"/>
    </row>
    <row r="6" spans="2:33" x14ac:dyDescent="0.25">
      <c r="B6" s="121"/>
      <c r="C6" s="2"/>
      <c r="D6" s="2"/>
      <c r="E6" s="64"/>
      <c r="F6" s="2"/>
      <c r="G6" s="2"/>
      <c r="H6" s="3"/>
      <c r="I6" s="3"/>
      <c r="J6" s="3"/>
      <c r="Q6" s="91"/>
      <c r="X6" s="86"/>
      <c r="Z6" s="94" t="s">
        <v>194</v>
      </c>
      <c r="AG6" s="94"/>
    </row>
    <row r="7" spans="2:33" s="10" customFormat="1" ht="30" x14ac:dyDescent="0.25">
      <c r="B7" s="7" t="s">
        <v>1</v>
      </c>
      <c r="C7" s="7" t="s">
        <v>70</v>
      </c>
      <c r="D7" s="7" t="s">
        <v>71</v>
      </c>
      <c r="E7" s="65" t="s">
        <v>86</v>
      </c>
      <c r="F7" s="8" t="s">
        <v>63</v>
      </c>
      <c r="G7" s="7" t="s">
        <v>3</v>
      </c>
      <c r="H7" s="7" t="s">
        <v>150</v>
      </c>
      <c r="I7" s="7" t="s">
        <v>69</v>
      </c>
      <c r="J7" s="7" t="s">
        <v>4</v>
      </c>
      <c r="K7" s="7" t="s">
        <v>5</v>
      </c>
      <c r="L7" s="7" t="s">
        <v>6</v>
      </c>
      <c r="M7" s="7" t="s">
        <v>7</v>
      </c>
      <c r="N7" s="7" t="s">
        <v>204</v>
      </c>
      <c r="P7" s="87" t="s">
        <v>148</v>
      </c>
      <c r="Q7" s="88" t="s">
        <v>71</v>
      </c>
      <c r="R7" s="87" t="s">
        <v>141</v>
      </c>
      <c r="S7" s="88" t="s">
        <v>2</v>
      </c>
      <c r="T7" s="89" t="s">
        <v>4</v>
      </c>
      <c r="U7" s="89" t="s">
        <v>5</v>
      </c>
      <c r="V7" s="89" t="s">
        <v>6</v>
      </c>
      <c r="W7" s="89" t="s">
        <v>7</v>
      </c>
      <c r="X7" s="89" t="s">
        <v>204</v>
      </c>
      <c r="Y7" s="127"/>
      <c r="Z7" s="95" t="s">
        <v>71</v>
      </c>
      <c r="AA7" s="96" t="s">
        <v>141</v>
      </c>
      <c r="AB7" s="95" t="s">
        <v>2</v>
      </c>
      <c r="AC7" s="112" t="s">
        <v>4</v>
      </c>
      <c r="AD7" s="97" t="s">
        <v>5</v>
      </c>
      <c r="AE7" s="97" t="s">
        <v>6</v>
      </c>
      <c r="AF7" s="97" t="s">
        <v>7</v>
      </c>
      <c r="AG7" s="97" t="s">
        <v>204</v>
      </c>
    </row>
    <row r="8" spans="2:33" x14ac:dyDescent="0.25">
      <c r="B8" s="11" t="s">
        <v>8</v>
      </c>
      <c r="C8" s="11">
        <v>2</v>
      </c>
      <c r="D8" s="60" t="s">
        <v>75</v>
      </c>
      <c r="E8" s="66" t="s">
        <v>113</v>
      </c>
      <c r="F8" s="6" t="s">
        <v>87</v>
      </c>
      <c r="G8" s="3" t="s">
        <v>62</v>
      </c>
      <c r="H8" s="3" t="s">
        <v>76</v>
      </c>
      <c r="I8" s="3" t="s">
        <v>12</v>
      </c>
      <c r="J8" s="50">
        <f t="shared" ref="J8:N11" si="0">T8</f>
        <v>30.134802730612364</v>
      </c>
      <c r="K8" s="50" t="str">
        <f>TEXT(U8,"$#.000")&amp;"*"</f>
        <v>$33.902*</v>
      </c>
      <c r="L8" s="40"/>
      <c r="M8" s="40"/>
      <c r="P8" s="85" t="s">
        <v>149</v>
      </c>
      <c r="Q8" s="86" t="str">
        <f>D8</f>
        <v>52917C</v>
      </c>
      <c r="R8" s="85" t="str">
        <f t="shared" ref="R8:R11" si="1">F8</f>
        <v>Water Distribution Operator Trainee</v>
      </c>
      <c r="S8" s="90" t="str">
        <f>E8</f>
        <v>04</v>
      </c>
      <c r="T8" s="91">
        <f>VLOOKUP($Q8,DataJan27,4,0)*BaseIncPerc26</f>
        <v>30.134802730612364</v>
      </c>
      <c r="U8" s="91">
        <f>VLOOKUP($Q8,DataJan27,5,0)*BaseIncPerc26</f>
        <v>33.90165307193891</v>
      </c>
      <c r="V8" s="91"/>
      <c r="W8" s="91"/>
      <c r="X8" s="86"/>
      <c r="Z8" s="94" t="str">
        <f t="shared" ref="Z8:AB10" si="2">Q8</f>
        <v>52917C</v>
      </c>
      <c r="AA8" s="94" t="str">
        <f t="shared" si="2"/>
        <v>Water Distribution Operator Trainee</v>
      </c>
      <c r="AB8" s="98" t="str">
        <f t="shared" si="2"/>
        <v>04</v>
      </c>
      <c r="AC8" s="99">
        <f t="shared" ref="AC8:AG11" si="3">ROUND(T8,3)</f>
        <v>30.135000000000002</v>
      </c>
      <c r="AD8" s="99">
        <f t="shared" si="3"/>
        <v>33.902000000000001</v>
      </c>
      <c r="AE8" s="99"/>
      <c r="AF8" s="99"/>
      <c r="AG8" s="94"/>
    </row>
    <row r="9" spans="2:33" x14ac:dyDescent="0.25">
      <c r="B9" s="11" t="s">
        <v>8</v>
      </c>
      <c r="C9" s="11">
        <v>2</v>
      </c>
      <c r="D9" s="80" t="s">
        <v>90</v>
      </c>
      <c r="E9" s="61" t="s">
        <v>21</v>
      </c>
      <c r="F9" s="6" t="s">
        <v>56</v>
      </c>
      <c r="G9" s="3">
        <v>295</v>
      </c>
      <c r="H9" s="3">
        <v>6</v>
      </c>
      <c r="I9" s="3" t="s">
        <v>12</v>
      </c>
      <c r="J9" s="50">
        <f t="shared" si="0"/>
        <v>37.689926258808526</v>
      </c>
      <c r="K9" s="50">
        <f t="shared" si="0"/>
        <v>39.556630099209713</v>
      </c>
      <c r="L9" s="50">
        <f t="shared" si="0"/>
        <v>41.518988018389201</v>
      </c>
      <c r="M9" s="50">
        <f t="shared" si="0"/>
        <v>43.585964676800003</v>
      </c>
      <c r="N9" s="50">
        <f t="shared" si="0"/>
        <v>45.729835980464159</v>
      </c>
      <c r="O9" s="58"/>
      <c r="P9" s="85" t="s">
        <v>149</v>
      </c>
      <c r="Q9" s="86" t="str">
        <f>D9</f>
        <v>52938C</v>
      </c>
      <c r="R9" s="85" t="str">
        <f t="shared" si="1"/>
        <v>Water Distribution Operator</v>
      </c>
      <c r="S9" s="90" t="str">
        <f>E9</f>
        <v>01</v>
      </c>
      <c r="T9" s="91">
        <f>VLOOKUP($Q9,DataJan27,4,0)*BaseIncPerc26</f>
        <v>37.689926258808526</v>
      </c>
      <c r="U9" s="91">
        <f>VLOOKUP($Q9,DataJan27,5,0)*BaseIncPerc26</f>
        <v>39.556630099209713</v>
      </c>
      <c r="V9" s="91">
        <f>VLOOKUP($Q9,DataJan27,6,0)*BaseIncPerc26</f>
        <v>41.518988018389201</v>
      </c>
      <c r="W9" s="91">
        <f>VLOOKUP($Q9,DataJan27,7,0)*BaseIncPerc26</f>
        <v>43.585964676800003</v>
      </c>
      <c r="X9" s="91">
        <f>VLOOKUP($Q9,DataJan27,8,0)*BaseIncPerc26</f>
        <v>45.729835980464159</v>
      </c>
      <c r="Z9" s="94" t="str">
        <f t="shared" si="2"/>
        <v>52938C</v>
      </c>
      <c r="AA9" s="94" t="str">
        <f t="shared" si="2"/>
        <v>Water Distribution Operator</v>
      </c>
      <c r="AB9" s="98" t="str">
        <f t="shared" si="2"/>
        <v>01</v>
      </c>
      <c r="AC9" s="99">
        <f t="shared" si="3"/>
        <v>37.69</v>
      </c>
      <c r="AD9" s="99">
        <f t="shared" si="3"/>
        <v>39.557000000000002</v>
      </c>
      <c r="AE9" s="99">
        <f t="shared" si="3"/>
        <v>41.518999999999998</v>
      </c>
      <c r="AF9" s="99">
        <f t="shared" si="3"/>
        <v>43.585999999999999</v>
      </c>
      <c r="AG9" s="131">
        <f t="shared" si="3"/>
        <v>45.73</v>
      </c>
    </row>
    <row r="10" spans="2:33" x14ac:dyDescent="0.25">
      <c r="B10" s="11" t="s">
        <v>8</v>
      </c>
      <c r="C10" s="11">
        <v>2</v>
      </c>
      <c r="D10" s="80" t="s">
        <v>188</v>
      </c>
      <c r="E10" s="61" t="s">
        <v>189</v>
      </c>
      <c r="F10" s="6" t="s">
        <v>190</v>
      </c>
      <c r="G10" s="3">
        <v>345</v>
      </c>
      <c r="H10" s="3">
        <v>7</v>
      </c>
      <c r="I10" s="3" t="s">
        <v>12</v>
      </c>
      <c r="J10" s="50">
        <f t="shared" ca="1" si="0"/>
        <v>40.178207451381994</v>
      </c>
      <c r="K10" s="50">
        <f t="shared" ca="1" si="0"/>
        <v>42.293756172394993</v>
      </c>
      <c r="L10" s="50">
        <f t="shared" ca="1" si="0"/>
        <v>44.519501679743996</v>
      </c>
      <c r="M10" s="50">
        <f t="shared" ca="1" si="0"/>
        <v>46.862331272574991</v>
      </c>
      <c r="N10" s="50">
        <f t="shared" si="0"/>
        <v>49.300413639534632</v>
      </c>
      <c r="O10" s="58"/>
      <c r="P10" s="85" t="s">
        <v>149</v>
      </c>
      <c r="Q10" s="86" t="s">
        <v>188</v>
      </c>
      <c r="R10" s="85" t="str">
        <f t="shared" si="1"/>
        <v>Water Loss &amp; Service Connection Inspector</v>
      </c>
      <c r="S10" s="90" t="str">
        <f>E10</f>
        <v>10</v>
      </c>
      <c r="T10" s="91">
        <f ca="1">VLOOKUP($Q10,DataJan27,4,0)*BaseIncPerc26</f>
        <v>40.178207451381994</v>
      </c>
      <c r="U10" s="91">
        <f ca="1">VLOOKUP($Q10,DataJan27,5,0)*BaseIncPerc26</f>
        <v>42.293756172394993</v>
      </c>
      <c r="V10" s="91">
        <f ca="1">VLOOKUP($Q10,DataJan27,6,0)*BaseIncPerc26</f>
        <v>44.519501679743996</v>
      </c>
      <c r="W10" s="91">
        <f ca="1">VLOOKUP($Q10,DataJan27,7,0)*BaseIncPerc26</f>
        <v>46.862331272574991</v>
      </c>
      <c r="X10" s="91">
        <f>VLOOKUP($Q10,DataJan27,8,0)*BaseIncPerc26</f>
        <v>49.300413639534632</v>
      </c>
      <c r="Z10" s="94" t="s">
        <v>188</v>
      </c>
      <c r="AA10" s="94" t="str">
        <f t="shared" si="2"/>
        <v>Water Loss &amp; Service Connection Inspector</v>
      </c>
      <c r="AB10" s="98" t="str">
        <f t="shared" si="2"/>
        <v>10</v>
      </c>
      <c r="AC10" s="99">
        <f t="shared" ca="1" si="3"/>
        <v>40.177999999999997</v>
      </c>
      <c r="AD10" s="99">
        <f t="shared" ca="1" si="3"/>
        <v>42.293999999999997</v>
      </c>
      <c r="AE10" s="99">
        <f t="shared" ca="1" si="3"/>
        <v>44.52</v>
      </c>
      <c r="AF10" s="99">
        <f t="shared" ca="1" si="3"/>
        <v>46.862000000000002</v>
      </c>
      <c r="AG10" s="131">
        <f t="shared" si="3"/>
        <v>49.3</v>
      </c>
    </row>
    <row r="11" spans="2:33" x14ac:dyDescent="0.25">
      <c r="B11" s="55" t="s">
        <v>8</v>
      </c>
      <c r="C11" s="55">
        <v>2</v>
      </c>
      <c r="D11" s="81" t="s">
        <v>91</v>
      </c>
      <c r="E11" s="63" t="s">
        <v>92</v>
      </c>
      <c r="F11" s="56" t="s">
        <v>57</v>
      </c>
      <c r="G11" s="57">
        <v>340</v>
      </c>
      <c r="H11" s="57">
        <v>7</v>
      </c>
      <c r="I11" s="57" t="s">
        <v>12</v>
      </c>
      <c r="J11" s="59">
        <f t="shared" si="0"/>
        <v>40.194323957731839</v>
      </c>
      <c r="K11" s="59">
        <f t="shared" si="0"/>
        <v>42.107405533298262</v>
      </c>
      <c r="L11" s="59">
        <f t="shared" si="0"/>
        <v>44.113242579195173</v>
      </c>
      <c r="M11" s="59">
        <f t="shared" si="0"/>
        <v>46.214733703870394</v>
      </c>
      <c r="N11" s="59">
        <f t="shared" si="0"/>
        <v>48.388817122261393</v>
      </c>
      <c r="P11" s="85" t="s">
        <v>149</v>
      </c>
      <c r="Q11" s="86" t="str">
        <f>D11</f>
        <v>52939C</v>
      </c>
      <c r="R11" s="85" t="str">
        <f t="shared" si="1"/>
        <v>Senior Water Distribution Operator</v>
      </c>
      <c r="S11" s="90" t="str">
        <f>E11</f>
        <v>02</v>
      </c>
      <c r="T11" s="91">
        <f>VLOOKUP($Q11,DataJan27,4,0)*BaseIncPerc26</f>
        <v>40.194323957731839</v>
      </c>
      <c r="U11" s="91">
        <f>VLOOKUP($Q11,DataJan27,5,0)*BaseIncPerc26</f>
        <v>42.107405533298262</v>
      </c>
      <c r="V11" s="91">
        <f>VLOOKUP($Q11,DataJan27,6,0)*BaseIncPerc26</f>
        <v>44.113242579195173</v>
      </c>
      <c r="W11" s="91">
        <f>VLOOKUP($Q11,DataJan27,7,0)*BaseIncPerc26</f>
        <v>46.214733703870394</v>
      </c>
      <c r="X11" s="91">
        <f>VLOOKUP($Q11,DataJan27,8,0)*BaseIncPerc26</f>
        <v>48.388817122261393</v>
      </c>
      <c r="Z11" s="94" t="str">
        <f t="shared" ref="Z11:AB11" si="4">Q11</f>
        <v>52939C</v>
      </c>
      <c r="AA11" s="94" t="str">
        <f t="shared" si="4"/>
        <v>Senior Water Distribution Operator</v>
      </c>
      <c r="AB11" s="98" t="str">
        <f t="shared" si="4"/>
        <v>02</v>
      </c>
      <c r="AC11" s="99">
        <f t="shared" si="3"/>
        <v>40.194000000000003</v>
      </c>
      <c r="AD11" s="99">
        <f t="shared" si="3"/>
        <v>42.106999999999999</v>
      </c>
      <c r="AE11" s="99">
        <f t="shared" si="3"/>
        <v>44.113</v>
      </c>
      <c r="AF11" s="99">
        <f t="shared" si="3"/>
        <v>46.215000000000003</v>
      </c>
      <c r="AG11" s="131">
        <f t="shared" si="3"/>
        <v>48.389000000000003</v>
      </c>
    </row>
    <row r="12" spans="2:33" x14ac:dyDescent="0.25">
      <c r="B12" s="132" t="s">
        <v>161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X12" s="86"/>
      <c r="AG12" s="94"/>
    </row>
    <row r="13" spans="2:33" x14ac:dyDescent="0.25">
      <c r="B13" s="11"/>
      <c r="C13" s="11"/>
      <c r="D13" s="12"/>
      <c r="E13" s="66"/>
      <c r="F13" s="6"/>
      <c r="G13" s="3"/>
      <c r="H13" s="3"/>
      <c r="I13" s="3"/>
      <c r="J13" s="40"/>
      <c r="K13" s="40"/>
      <c r="L13" s="40"/>
      <c r="M13" s="40"/>
      <c r="X13" s="86"/>
      <c r="AG13" s="94"/>
    </row>
    <row r="14" spans="2:33" x14ac:dyDescent="0.25">
      <c r="B14" s="17" t="s">
        <v>26</v>
      </c>
      <c r="C14" s="2"/>
      <c r="D14" s="2"/>
      <c r="E14" s="64"/>
      <c r="F14" s="17"/>
      <c r="G14" s="2"/>
      <c r="H14" s="2"/>
      <c r="I14" s="2"/>
      <c r="J14" s="2"/>
      <c r="K14" s="2"/>
      <c r="L14" s="2"/>
      <c r="M14" s="2"/>
      <c r="X14" s="86"/>
      <c r="AG14" s="94"/>
    </row>
    <row r="15" spans="2:33" x14ac:dyDescent="0.25">
      <c r="B15" s="18" t="s">
        <v>27</v>
      </c>
      <c r="C15" s="19"/>
      <c r="D15" s="19"/>
      <c r="E15" s="67"/>
      <c r="F15" s="19"/>
      <c r="G15" s="19"/>
      <c r="H15" s="19"/>
      <c r="I15" s="19"/>
      <c r="J15" s="80"/>
      <c r="K15" s="80"/>
      <c r="L15" s="80"/>
      <c r="M15" s="80"/>
      <c r="X15" s="86"/>
      <c r="AG15" s="94"/>
    </row>
    <row r="16" spans="2:33" x14ac:dyDescent="0.25">
      <c r="B16" s="18" t="s">
        <v>28</v>
      </c>
      <c r="C16" s="19"/>
      <c r="D16" s="19"/>
      <c r="E16" s="67"/>
      <c r="F16" s="19"/>
      <c r="G16" s="19"/>
      <c r="H16" s="19"/>
      <c r="I16" s="19"/>
      <c r="J16" s="80"/>
      <c r="K16" s="80"/>
      <c r="L16" s="82"/>
      <c r="M16" s="80"/>
      <c r="X16" s="86"/>
      <c r="Z16" s="94" t="s">
        <v>26</v>
      </c>
      <c r="AG16" s="94"/>
    </row>
    <row r="17" spans="1:33" x14ac:dyDescent="0.25">
      <c r="B17" s="20">
        <f ca="1">T17</f>
        <v>0.41210650540857602</v>
      </c>
      <c r="C17" s="18" t="s">
        <v>29</v>
      </c>
      <c r="E17" s="68"/>
      <c r="F17" s="19"/>
      <c r="G17" s="19"/>
      <c r="H17" s="19"/>
      <c r="I17" s="21"/>
      <c r="J17" s="21"/>
      <c r="K17" s="16"/>
      <c r="L17" s="21"/>
      <c r="M17" s="49"/>
      <c r="P17" s="85" t="s">
        <v>149</v>
      </c>
      <c r="Q17" s="86" t="s">
        <v>127</v>
      </c>
      <c r="T17" s="91">
        <f ca="1">VLOOKUP($Q17,DataJan27,4,0)*BaseIncPerc26</f>
        <v>0.41210650540857602</v>
      </c>
      <c r="X17" s="86"/>
      <c r="Z17" s="94" t="str">
        <f>Q17</f>
        <v>Year 10</v>
      </c>
      <c r="AC17" s="99">
        <f t="shared" ref="AC17:AC20" ca="1" si="5">ROUND(T17,3)</f>
        <v>0.41199999999999998</v>
      </c>
      <c r="AG17" s="94"/>
    </row>
    <row r="18" spans="1:33" x14ac:dyDescent="0.25">
      <c r="B18" s="20">
        <f t="shared" ref="B18:B20" ca="1" si="6">T18</f>
        <v>0.57720116048051318</v>
      </c>
      <c r="C18" s="18" t="s">
        <v>30</v>
      </c>
      <c r="E18" s="68"/>
      <c r="F18" s="19"/>
      <c r="G18" s="19"/>
      <c r="H18" s="19"/>
      <c r="I18" s="21"/>
      <c r="J18" s="21"/>
      <c r="K18" s="16"/>
      <c r="L18" s="21"/>
      <c r="M18" s="49"/>
      <c r="P18" s="85" t="s">
        <v>149</v>
      </c>
      <c r="Q18" s="86" t="s">
        <v>128</v>
      </c>
      <c r="T18" s="91">
        <f ca="1">VLOOKUP($Q18,DataJan27,4,0)*BaseIncPerc26</f>
        <v>0.57720116048051318</v>
      </c>
      <c r="X18" s="86"/>
      <c r="Z18" s="94" t="str">
        <f t="shared" ref="Z18:Z20" si="7">Q18</f>
        <v>Year 15</v>
      </c>
      <c r="AC18" s="99">
        <f t="shared" ca="1" si="5"/>
        <v>0.57699999999999996</v>
      </c>
      <c r="AG18" s="94"/>
    </row>
    <row r="19" spans="1:33" x14ac:dyDescent="0.25">
      <c r="B19" s="20">
        <f t="shared" ca="1" si="6"/>
        <v>0.69944682110629874</v>
      </c>
      <c r="C19" s="18" t="s">
        <v>31</v>
      </c>
      <c r="E19" s="68"/>
      <c r="F19" s="19"/>
      <c r="G19" s="19"/>
      <c r="H19" s="19"/>
      <c r="I19" s="21"/>
      <c r="J19" s="21"/>
      <c r="K19" s="16"/>
      <c r="L19" s="2"/>
      <c r="M19" s="49"/>
      <c r="P19" s="85" t="s">
        <v>149</v>
      </c>
      <c r="Q19" s="86" t="s">
        <v>129</v>
      </c>
      <c r="T19" s="91">
        <f ca="1">VLOOKUP($Q19,DataJan27,4,0)*BaseIncPerc26</f>
        <v>0.69944682110629874</v>
      </c>
      <c r="X19" s="86"/>
      <c r="Z19" s="94" t="str">
        <f t="shared" si="7"/>
        <v>Year 20</v>
      </c>
      <c r="AC19" s="99">
        <f t="shared" ca="1" si="5"/>
        <v>0.69899999999999995</v>
      </c>
      <c r="AG19" s="94"/>
    </row>
    <row r="20" spans="1:33" x14ac:dyDescent="0.25">
      <c r="B20" s="20">
        <f t="shared" ca="1" si="6"/>
        <v>0.82043221718955051</v>
      </c>
      <c r="C20" s="18" t="s">
        <v>32</v>
      </c>
      <c r="E20" s="67"/>
      <c r="F20" s="19"/>
      <c r="G20" s="19"/>
      <c r="H20" s="19"/>
      <c r="I20" s="21"/>
      <c r="J20" s="21"/>
      <c r="K20" s="16"/>
      <c r="L20" s="21"/>
      <c r="M20" s="49"/>
      <c r="P20" s="85" t="s">
        <v>149</v>
      </c>
      <c r="Q20" s="86" t="s">
        <v>130</v>
      </c>
      <c r="T20" s="91">
        <f ca="1">VLOOKUP($Q20,DataJan27,4,0)*BaseIncPerc26</f>
        <v>0.82043221718955051</v>
      </c>
      <c r="X20" s="86"/>
      <c r="Z20" s="94" t="str">
        <f t="shared" si="7"/>
        <v>Year 25</v>
      </c>
      <c r="AC20" s="99">
        <f t="shared" ca="1" si="5"/>
        <v>0.82</v>
      </c>
      <c r="AG20" s="94"/>
    </row>
    <row r="21" spans="1:33" x14ac:dyDescent="0.25">
      <c r="B21" s="17"/>
      <c r="C21" s="2"/>
      <c r="D21" s="2"/>
      <c r="E21" s="64"/>
      <c r="F21" s="17"/>
      <c r="G21" s="2"/>
      <c r="H21" s="2"/>
      <c r="I21" s="2"/>
      <c r="K21" s="2"/>
      <c r="L21" s="2"/>
      <c r="M21" s="2"/>
      <c r="T21" s="91"/>
      <c r="X21" s="86"/>
      <c r="AG21" s="94"/>
    </row>
    <row r="22" spans="1:33" x14ac:dyDescent="0.25">
      <c r="B22" s="23" t="s">
        <v>33</v>
      </c>
      <c r="C22" s="21"/>
      <c r="D22" s="21"/>
      <c r="E22" s="69"/>
      <c r="F22" s="21"/>
      <c r="G22" s="21"/>
      <c r="H22" s="21"/>
      <c r="I22" s="21"/>
      <c r="J22" s="21"/>
      <c r="K22" s="21"/>
      <c r="L22" s="21"/>
      <c r="M22" s="21"/>
      <c r="T22" s="91"/>
      <c r="X22" s="86"/>
      <c r="AG22" s="94"/>
    </row>
    <row r="23" spans="1:33" x14ac:dyDescent="0.25">
      <c r="B23" s="18" t="s">
        <v>58</v>
      </c>
      <c r="C23" s="19"/>
      <c r="D23" s="19"/>
      <c r="E23" s="67"/>
      <c r="F23" s="19"/>
      <c r="G23" s="19"/>
      <c r="H23" s="19"/>
      <c r="I23" s="19"/>
      <c r="J23" s="21"/>
      <c r="K23" s="21"/>
      <c r="L23" s="21"/>
      <c r="M23" s="21"/>
      <c r="T23" s="91"/>
      <c r="X23" s="86"/>
      <c r="AG23" s="94"/>
    </row>
    <row r="24" spans="1:33" x14ac:dyDescent="0.25">
      <c r="B24" s="18" t="str">
        <f>"effective 1/1/2023, the safety shoe rate was increased from $0.070 to "&amp;TEXT(T24,"$0.000")&amp;" per hour"</f>
        <v>effective 1/1/2023, the safety shoe rate was increased from $0.070 to $0.106 per hour</v>
      </c>
      <c r="C24" s="19"/>
      <c r="D24" s="19"/>
      <c r="E24" s="67"/>
      <c r="F24" s="19"/>
      <c r="G24" s="74"/>
      <c r="H24" s="19"/>
      <c r="I24" s="19"/>
      <c r="J24" s="21"/>
      <c r="K24" s="21"/>
      <c r="L24" s="21"/>
      <c r="M24" s="21"/>
      <c r="P24" s="85" t="s">
        <v>8</v>
      </c>
      <c r="Q24" s="86" t="s">
        <v>33</v>
      </c>
      <c r="T24" s="91">
        <f>VLOOKUP($Q24,DataJan27,4,0)*BaseIncPerc26</f>
        <v>0.10609000000000002</v>
      </c>
      <c r="X24" s="86"/>
      <c r="Z24" s="94" t="str">
        <f t="shared" ref="Z24" si="8">Q24</f>
        <v>Safety Shoes</v>
      </c>
      <c r="AC24" s="99">
        <f t="shared" ref="AC24" si="9">ROUND(T24,3)</f>
        <v>0.106</v>
      </c>
      <c r="AG24" s="94"/>
    </row>
    <row r="25" spans="1:33" x14ac:dyDescent="0.25">
      <c r="B25" s="18"/>
      <c r="C25" s="19"/>
      <c r="D25" s="19"/>
      <c r="E25" s="67"/>
      <c r="F25" s="19"/>
      <c r="G25" s="19"/>
      <c r="H25" s="19"/>
      <c r="I25" s="19"/>
      <c r="J25" s="21"/>
      <c r="K25" s="21"/>
      <c r="L25" s="21"/>
      <c r="M25" s="21"/>
      <c r="T25" s="91"/>
      <c r="X25" s="86"/>
      <c r="AG25" s="94"/>
    </row>
    <row r="26" spans="1:33" s="26" customFormat="1" x14ac:dyDescent="0.25">
      <c r="B26" s="26" t="s">
        <v>160</v>
      </c>
      <c r="E26" s="70"/>
      <c r="P26" s="92"/>
      <c r="Q26" s="93"/>
      <c r="R26" s="92"/>
      <c r="S26" s="93"/>
      <c r="T26" s="91"/>
      <c r="U26" s="93"/>
      <c r="V26" s="93"/>
      <c r="W26" s="93"/>
      <c r="X26" s="86"/>
      <c r="Y26" s="126"/>
      <c r="Z26" s="100"/>
      <c r="AA26" s="100"/>
      <c r="AB26" s="100"/>
      <c r="AC26" s="113"/>
      <c r="AD26" s="100"/>
      <c r="AE26" s="100"/>
      <c r="AF26" s="100"/>
      <c r="AG26" s="94"/>
    </row>
    <row r="27" spans="1:33" x14ac:dyDescent="0.25">
      <c r="B27" s="4" t="s">
        <v>168</v>
      </c>
      <c r="T27" s="91"/>
      <c r="X27" s="86"/>
      <c r="AG27" s="94"/>
    </row>
    <row r="28" spans="1:33" x14ac:dyDescent="0.25">
      <c r="A28" t="s">
        <v>124</v>
      </c>
      <c r="B28" s="20">
        <f t="shared" ref="B28:B30" ca="1" si="10">T28</f>
        <v>0.7259123764995099</v>
      </c>
      <c r="C28" s="4" t="s">
        <v>169</v>
      </c>
      <c r="M28" s="21"/>
      <c r="P28" s="85" t="s">
        <v>149</v>
      </c>
      <c r="Q28" s="86" t="s">
        <v>124</v>
      </c>
      <c r="R28" s="85" t="s">
        <v>136</v>
      </c>
      <c r="T28" s="91">
        <f ca="1">VLOOKUP($Q28,DataJan27,4,0)*BaseIncPerc26</f>
        <v>0.7259123764995099</v>
      </c>
      <c r="X28" s="86"/>
      <c r="Z28" s="94" t="str">
        <f t="shared" ref="Z28:AA30" si="11">Q28</f>
        <v>CAWWOC</v>
      </c>
      <c r="AA28" s="94" t="str">
        <f t="shared" si="11"/>
        <v>Water Operator Certification-C</v>
      </c>
      <c r="AC28" s="99">
        <f t="shared" ref="AC28:AC30" ca="1" si="12">ROUND(T28,3)</f>
        <v>0.72599999999999998</v>
      </c>
      <c r="AG28" s="94"/>
    </row>
    <row r="29" spans="1:33" x14ac:dyDescent="0.25">
      <c r="A29" t="s">
        <v>123</v>
      </c>
      <c r="B29" s="20">
        <f t="shared" ca="1" si="10"/>
        <v>1.0951698874619344</v>
      </c>
      <c r="C29" s="4" t="s">
        <v>48</v>
      </c>
      <c r="M29" s="21"/>
      <c r="P29" s="85" t="s">
        <v>149</v>
      </c>
      <c r="Q29" s="86" t="s">
        <v>123</v>
      </c>
      <c r="R29" s="85" t="s">
        <v>137</v>
      </c>
      <c r="T29" s="91">
        <f ca="1">VLOOKUP($Q29,DataJan27,4,0)*BaseIncPerc26</f>
        <v>1.0951698874619344</v>
      </c>
      <c r="X29" s="86"/>
      <c r="Z29" s="94" t="str">
        <f t="shared" si="11"/>
        <v>CAWWOB</v>
      </c>
      <c r="AA29" s="94" t="str">
        <f t="shared" si="11"/>
        <v>Water Operator Certification-B</v>
      </c>
      <c r="AC29" s="99">
        <f t="shared" ca="1" si="12"/>
        <v>1.095</v>
      </c>
      <c r="AG29" s="94"/>
    </row>
    <row r="30" spans="1:33" x14ac:dyDescent="0.25">
      <c r="A30" t="s">
        <v>122</v>
      </c>
      <c r="B30" s="20">
        <f t="shared" ca="1" si="10"/>
        <v>1.4644273984243588</v>
      </c>
      <c r="C30" s="4" t="s">
        <v>49</v>
      </c>
      <c r="M30" s="21"/>
      <c r="P30" s="85" t="s">
        <v>149</v>
      </c>
      <c r="Q30" s="86" t="s">
        <v>122</v>
      </c>
      <c r="R30" s="85" t="s">
        <v>138</v>
      </c>
      <c r="T30" s="91">
        <f ca="1">VLOOKUP($Q30,DataJan27,4,0)*BaseIncPerc26</f>
        <v>1.4644273984243588</v>
      </c>
      <c r="X30" s="86"/>
      <c r="Z30" s="94" t="str">
        <f t="shared" si="11"/>
        <v>CAWWOA</v>
      </c>
      <c r="AA30" s="94" t="str">
        <f t="shared" si="11"/>
        <v>Water Operator Certification-A</v>
      </c>
      <c r="AC30" s="99">
        <f t="shared" ca="1" si="12"/>
        <v>1.464</v>
      </c>
      <c r="AG30" s="94"/>
    </row>
    <row r="31" spans="1:33" x14ac:dyDescent="0.25">
      <c r="T31" s="91"/>
      <c r="X31" s="86"/>
      <c r="AG31" s="94"/>
    </row>
    <row r="32" spans="1:33" x14ac:dyDescent="0.25">
      <c r="B32" s="24" t="s">
        <v>170</v>
      </c>
      <c r="C32" s="27"/>
      <c r="D32" s="27"/>
      <c r="E32" s="72"/>
      <c r="F32" s="29"/>
      <c r="G32" s="29"/>
      <c r="H32" s="29"/>
      <c r="I32" s="29"/>
      <c r="J32" s="29"/>
      <c r="K32" s="29"/>
      <c r="L32" s="29"/>
      <c r="M32" s="29"/>
      <c r="T32" s="91"/>
      <c r="X32" s="86"/>
      <c r="AG32" s="94"/>
    </row>
    <row r="33" spans="1:33" x14ac:dyDescent="0.25">
      <c r="B33" s="20">
        <f t="shared" ref="B33" ca="1" si="13">T33</f>
        <v>1.0576385946220843</v>
      </c>
      <c r="C33" s="37" t="s">
        <v>106</v>
      </c>
      <c r="D33" s="37" t="s">
        <v>172</v>
      </c>
      <c r="E33" s="73"/>
      <c r="F33" s="33"/>
      <c r="G33" s="33"/>
      <c r="H33" s="33"/>
      <c r="I33" s="33"/>
      <c r="J33" s="33"/>
      <c r="K33" s="29"/>
      <c r="L33" s="29"/>
      <c r="M33" s="29"/>
      <c r="P33" s="85" t="s">
        <v>149</v>
      </c>
      <c r="Q33" s="86" t="s">
        <v>125</v>
      </c>
      <c r="R33" s="85" t="s">
        <v>139</v>
      </c>
      <c r="T33" s="91">
        <f ca="1">VLOOKUP($Q33,DataJan27,4,0)*BaseIncPerc26</f>
        <v>1.0576385946220843</v>
      </c>
      <c r="X33" s="86"/>
      <c r="Z33" s="94" t="str">
        <f t="shared" ref="Z33:AA35" si="14">Q33</f>
        <v>CAWEVE</v>
      </c>
      <c r="AA33" s="94" t="str">
        <f t="shared" si="14"/>
        <v>TL-Afternoon Shift Premium-CAW</v>
      </c>
      <c r="AC33" s="99">
        <f t="shared" ref="AC33:AC35" ca="1" si="15">ROUND(T33,3)</f>
        <v>1.0580000000000001</v>
      </c>
      <c r="AG33" s="94"/>
    </row>
    <row r="34" spans="1:33" x14ac:dyDescent="0.25">
      <c r="B34" s="30"/>
      <c r="C34" s="37"/>
      <c r="D34" s="37" t="s">
        <v>171</v>
      </c>
      <c r="E34" s="73"/>
      <c r="F34" s="33"/>
      <c r="G34" s="33"/>
      <c r="H34" s="33"/>
      <c r="I34" s="33"/>
      <c r="J34" s="33"/>
      <c r="K34" s="29"/>
      <c r="L34" s="29"/>
      <c r="M34" s="29"/>
      <c r="P34" s="85" t="s">
        <v>149</v>
      </c>
      <c r="Q34" s="86" t="s">
        <v>154</v>
      </c>
      <c r="R34" s="85" t="s">
        <v>163</v>
      </c>
      <c r="T34" s="91">
        <f ca="1">VLOOKUP($Q34,DataJan27,4,0)*BaseIncPerc26</f>
        <v>1.0576385946220843</v>
      </c>
      <c r="X34" s="86"/>
      <c r="Z34" s="94" t="str">
        <f t="shared" si="14"/>
        <v>CAWWKE</v>
      </c>
      <c r="AA34" s="94" t="str">
        <f t="shared" si="14"/>
        <v>Weekend shift-CAW</v>
      </c>
      <c r="AC34" s="99">
        <f t="shared" ca="1" si="15"/>
        <v>1.0580000000000001</v>
      </c>
      <c r="AG34" s="94"/>
    </row>
    <row r="35" spans="1:33" x14ac:dyDescent="0.25">
      <c r="B35" s="20">
        <f t="shared" ref="B35" ca="1" si="16">T35</f>
        <v>1.5772525815947036</v>
      </c>
      <c r="C35" s="37" t="s">
        <v>106</v>
      </c>
      <c r="D35" s="37" t="s">
        <v>185</v>
      </c>
      <c r="E35" s="73"/>
      <c r="F35" s="33"/>
      <c r="G35" s="33"/>
      <c r="H35" s="33"/>
      <c r="I35" s="33"/>
      <c r="J35" s="33"/>
      <c r="K35" s="29"/>
      <c r="L35" s="29"/>
      <c r="M35" s="29"/>
      <c r="P35" s="85" t="s">
        <v>149</v>
      </c>
      <c r="Q35" s="86" t="s">
        <v>126</v>
      </c>
      <c r="R35" s="85" t="s">
        <v>140</v>
      </c>
      <c r="T35" s="91">
        <f ca="1">VLOOKUP($Q35,DataJan27,4,0)*BaseIncPerc26</f>
        <v>1.5772525815947036</v>
      </c>
      <c r="X35" s="86"/>
      <c r="Z35" s="94" t="str">
        <f t="shared" si="14"/>
        <v>CAWNIT</v>
      </c>
      <c r="AA35" s="94" t="str">
        <f t="shared" si="14"/>
        <v>TL-Night Shift Premium-CPL</v>
      </c>
      <c r="AC35" s="99">
        <f t="shared" ca="1" si="15"/>
        <v>1.577</v>
      </c>
      <c r="AG35" s="94"/>
    </row>
    <row r="36" spans="1:33" x14ac:dyDescent="0.25">
      <c r="B36" s="30"/>
      <c r="C36" s="31"/>
      <c r="D36" s="31"/>
      <c r="E36" s="73"/>
      <c r="F36" s="33"/>
      <c r="G36" s="33"/>
      <c r="H36" s="33"/>
      <c r="I36" s="33"/>
      <c r="J36" s="33"/>
      <c r="K36" s="29"/>
      <c r="L36" s="29"/>
      <c r="M36" s="29"/>
      <c r="T36" s="91"/>
      <c r="X36" s="86"/>
      <c r="AG36" s="94"/>
    </row>
    <row r="37" spans="1:33" x14ac:dyDescent="0.25">
      <c r="B37" s="103" t="s">
        <v>178</v>
      </c>
      <c r="C37" s="36"/>
      <c r="D37" s="34"/>
      <c r="E37" s="73"/>
      <c r="F37" s="33"/>
      <c r="G37" s="35"/>
      <c r="H37" s="35"/>
      <c r="I37" s="35"/>
      <c r="J37" s="38"/>
      <c r="K37" s="39"/>
      <c r="L37" s="33"/>
      <c r="M37" s="33"/>
      <c r="T37" s="91"/>
      <c r="X37" s="86"/>
      <c r="AG37" s="94"/>
    </row>
    <row r="38" spans="1:33" x14ac:dyDescent="0.25">
      <c r="B38" s="22">
        <f ca="1">T38</f>
        <v>0.96442849941438014</v>
      </c>
      <c r="C38" s="119" t="s">
        <v>106</v>
      </c>
      <c r="D38" s="119" t="s">
        <v>173</v>
      </c>
      <c r="E38" s="73"/>
      <c r="F38" s="33"/>
      <c r="G38" s="35"/>
      <c r="H38" s="35"/>
      <c r="I38" s="35"/>
      <c r="J38" s="38"/>
      <c r="K38" s="39"/>
      <c r="L38" s="33"/>
      <c r="M38" s="33"/>
      <c r="P38" s="85" t="s">
        <v>149</v>
      </c>
      <c r="Q38" s="86" t="s">
        <v>164</v>
      </c>
      <c r="R38" s="85" t="s">
        <v>165</v>
      </c>
      <c r="T38" s="91">
        <f ca="1">VLOOKUP($Q38,DataJan27,4,0)*BaseIncPerc26</f>
        <v>0.96442849941438014</v>
      </c>
      <c r="U38" s="105"/>
      <c r="X38" s="86"/>
      <c r="Z38" s="94" t="str">
        <f>Q38</f>
        <v>CAWGLA</v>
      </c>
      <c r="AA38" s="94" t="str">
        <f t="shared" ref="AA38:AA42" si="17">R38</f>
        <v>Gate Truck Lead Assignment</v>
      </c>
      <c r="AC38" s="99">
        <f t="shared" ref="AC38:AC42" ca="1" si="18">ROUND(T38,3)</f>
        <v>0.96399999999999997</v>
      </c>
      <c r="AG38" s="94"/>
    </row>
    <row r="39" spans="1:33" x14ac:dyDescent="0.25">
      <c r="A39" s="104"/>
      <c r="B39" s="22">
        <f t="shared" ref="B39:B42" ca="1" si="19">T39</f>
        <v>0.45369523531219375</v>
      </c>
      <c r="C39" s="119" t="s">
        <v>106</v>
      </c>
      <c r="D39" s="119" t="s">
        <v>174</v>
      </c>
      <c r="E39" s="73"/>
      <c r="F39" s="33"/>
      <c r="G39" s="35"/>
      <c r="H39" s="35"/>
      <c r="I39" s="35"/>
      <c r="J39" s="38"/>
      <c r="K39" s="39"/>
      <c r="L39" s="33"/>
      <c r="M39" s="33"/>
      <c r="P39" s="85" t="s">
        <v>149</v>
      </c>
      <c r="Q39" s="86" t="s">
        <v>118</v>
      </c>
      <c r="R39" s="85" t="s">
        <v>131</v>
      </c>
      <c r="T39" s="91">
        <f ca="1">VLOOKUP($Q39,DataJan27,4,0)*BaseIncPerc26</f>
        <v>0.45369523531219375</v>
      </c>
      <c r="X39" s="86"/>
      <c r="Z39" s="94" t="str">
        <f>Q39</f>
        <v>CAWGTT</v>
      </c>
      <c r="AA39" s="94" t="str">
        <f t="shared" si="17"/>
        <v>TL-Gate Truck Premium-CAW</v>
      </c>
      <c r="AC39" s="99">
        <f t="shared" ca="1" si="18"/>
        <v>0.45400000000000001</v>
      </c>
      <c r="AG39" s="94"/>
    </row>
    <row r="40" spans="1:33" x14ac:dyDescent="0.25">
      <c r="A40" s="104"/>
      <c r="B40" s="22">
        <f t="shared" ca="1" si="19"/>
        <v>0.45369523531219375</v>
      </c>
      <c r="C40" s="118" t="s">
        <v>106</v>
      </c>
      <c r="D40" s="118" t="s">
        <v>175</v>
      </c>
      <c r="E40" s="73"/>
      <c r="F40" s="33"/>
      <c r="G40" s="35"/>
      <c r="H40" s="35"/>
      <c r="I40" s="35"/>
      <c r="J40" s="33"/>
      <c r="K40" s="33"/>
      <c r="L40" s="33"/>
      <c r="M40" s="33"/>
      <c r="P40" s="85" t="s">
        <v>149</v>
      </c>
      <c r="Q40" s="86" t="s">
        <v>117</v>
      </c>
      <c r="R40" s="85" t="s">
        <v>156</v>
      </c>
      <c r="T40" s="91">
        <f ca="1">VLOOKUP($Q40,DataJan27,4,0)*BaseIncPerc26</f>
        <v>0.45369523531219375</v>
      </c>
      <c r="X40" s="86"/>
      <c r="Z40" s="94" t="str">
        <f>Q40</f>
        <v>CAWTAP</v>
      </c>
      <c r="AA40" s="94" t="str">
        <f t="shared" si="17"/>
        <v>TL-Lrg &amp; Sml Taper Premium-CAW</v>
      </c>
      <c r="AC40" s="99">
        <f t="shared" ca="1" si="18"/>
        <v>0.45400000000000001</v>
      </c>
      <c r="AG40" s="94"/>
    </row>
    <row r="41" spans="1:33" x14ac:dyDescent="0.25">
      <c r="A41" s="104" t="s">
        <v>126</v>
      </c>
      <c r="B41" s="22">
        <f t="shared" ca="1" si="19"/>
        <v>1.4908929538175697</v>
      </c>
      <c r="C41" s="116" t="s">
        <v>106</v>
      </c>
      <c r="D41" s="117" t="s">
        <v>176</v>
      </c>
      <c r="E41" s="73"/>
      <c r="F41" s="29"/>
      <c r="G41" s="29"/>
      <c r="H41" s="35"/>
      <c r="I41" s="35"/>
      <c r="M41" s="33"/>
      <c r="P41" s="85" t="s">
        <v>149</v>
      </c>
      <c r="Q41" s="86" t="s">
        <v>121</v>
      </c>
      <c r="R41" s="85" t="s">
        <v>135</v>
      </c>
      <c r="T41" s="91">
        <f ca="1">VLOOKUP($Q41,DataJan27,4,0)*BaseIncPerc26</f>
        <v>1.4908929538175697</v>
      </c>
      <c r="U41" s="106"/>
      <c r="X41" s="86"/>
      <c r="Z41" s="94" t="str">
        <f>Q41</f>
        <v>CAWRSP</v>
      </c>
      <c r="AA41" s="94" t="str">
        <f t="shared" si="17"/>
        <v>TL-Respirator-CAW</v>
      </c>
      <c r="AC41" s="99">
        <f t="shared" ca="1" si="18"/>
        <v>1.4910000000000001</v>
      </c>
      <c r="AG41" s="94"/>
    </row>
    <row r="42" spans="1:33" x14ac:dyDescent="0.25">
      <c r="A42" s="104"/>
      <c r="B42" s="22">
        <f t="shared" ca="1" si="19"/>
        <v>0.45342533927690992</v>
      </c>
      <c r="C42" s="116" t="s">
        <v>106</v>
      </c>
      <c r="D42" s="118" t="s">
        <v>177</v>
      </c>
      <c r="E42" s="73"/>
      <c r="F42" s="33"/>
      <c r="G42" s="35"/>
      <c r="H42" s="35"/>
      <c r="I42" s="35"/>
      <c r="J42" s="33"/>
      <c r="K42" s="33"/>
      <c r="L42" s="33"/>
      <c r="M42" s="33"/>
      <c r="P42" s="85" t="s">
        <v>149</v>
      </c>
      <c r="Q42" s="86" t="s">
        <v>166</v>
      </c>
      <c r="R42" s="85" t="s">
        <v>167</v>
      </c>
      <c r="T42" s="91">
        <f ca="1">VLOOKUP($Q42,DataJan27,4,0)*BaseIncPerc26</f>
        <v>0.45342533927690992</v>
      </c>
      <c r="X42" s="86"/>
      <c r="Z42" s="94" t="str">
        <f>Q42</f>
        <v>CAWCMT</v>
      </c>
      <c r="AA42" s="94" t="str">
        <f t="shared" si="17"/>
        <v>Commercial Meter Testing (on-site)</v>
      </c>
      <c r="AC42" s="99">
        <f t="shared" ca="1" si="18"/>
        <v>0.45300000000000001</v>
      </c>
      <c r="AG42" s="94"/>
    </row>
    <row r="43" spans="1:33" x14ac:dyDescent="0.25">
      <c r="A43" s="104"/>
      <c r="B43" s="109"/>
      <c r="D43" s="37"/>
      <c r="E43" s="73"/>
      <c r="F43" s="33"/>
      <c r="G43" s="35"/>
      <c r="H43" s="35"/>
      <c r="I43" s="35"/>
      <c r="J43" s="33"/>
      <c r="K43" s="33"/>
      <c r="L43" s="33"/>
      <c r="M43" s="33"/>
      <c r="Q43" s="85"/>
      <c r="X43" s="86"/>
      <c r="AG43" s="94"/>
    </row>
    <row r="44" spans="1:33" x14ac:dyDescent="0.25">
      <c r="A44" s="104"/>
      <c r="B44" s="110"/>
      <c r="D44" s="37"/>
      <c r="E44" s="73"/>
      <c r="F44" s="33"/>
      <c r="G44" s="35"/>
      <c r="H44" s="35"/>
      <c r="I44" s="35"/>
      <c r="J44" s="33"/>
      <c r="K44" s="33"/>
      <c r="L44" s="33"/>
      <c r="M44" s="33"/>
      <c r="X44" s="86"/>
      <c r="AG44" s="94"/>
    </row>
    <row r="45" spans="1:33" x14ac:dyDescent="0.25">
      <c r="A45" s="104"/>
      <c r="B45" s="111"/>
      <c r="X45" s="86"/>
      <c r="AG45" s="94"/>
    </row>
    <row r="46" spans="1:33" x14ac:dyDescent="0.25">
      <c r="A46" s="104"/>
      <c r="B46" s="104"/>
      <c r="X46" s="86"/>
      <c r="AG46" s="94"/>
    </row>
    <row r="47" spans="1:33" x14ac:dyDescent="0.25">
      <c r="A47" s="104"/>
      <c r="B47" s="108"/>
      <c r="X47" s="86"/>
      <c r="AG47" s="94"/>
    </row>
    <row r="48" spans="1:33" x14ac:dyDescent="0.25">
      <c r="A48" s="104"/>
      <c r="B48" s="111"/>
      <c r="X48" s="86"/>
      <c r="AG48" s="94"/>
    </row>
    <row r="49" spans="1:33" x14ac:dyDescent="0.25">
      <c r="A49" s="104"/>
      <c r="B49" s="111" t="str">
        <f>B5</f>
        <v>Last updated June 8, 2026</v>
      </c>
      <c r="N49" s="4" t="s">
        <v>193</v>
      </c>
      <c r="X49" s="86"/>
      <c r="AG49" s="94"/>
    </row>
    <row r="50" spans="1:33" x14ac:dyDescent="0.25">
      <c r="A50" s="104"/>
      <c r="B50" s="104"/>
      <c r="X50" s="86"/>
      <c r="AG50" s="94"/>
    </row>
    <row r="51" spans="1:33" x14ac:dyDescent="0.25">
      <c r="A51" s="104"/>
      <c r="B51" s="108"/>
      <c r="X51" s="86"/>
      <c r="AG51" s="94"/>
    </row>
    <row r="52" spans="1:33" x14ac:dyDescent="0.25">
      <c r="A52" s="104"/>
      <c r="B52" s="111"/>
      <c r="X52" s="86"/>
      <c r="AG52" s="94"/>
    </row>
    <row r="53" spans="1:33" x14ac:dyDescent="0.25">
      <c r="A53" s="104"/>
      <c r="B53" s="111"/>
      <c r="X53" s="86"/>
      <c r="AG53" s="94"/>
    </row>
    <row r="54" spans="1:33" x14ac:dyDescent="0.25">
      <c r="A54" s="104"/>
      <c r="B54" s="111"/>
      <c r="X54" s="86"/>
      <c r="AG54" s="94"/>
    </row>
    <row r="55" spans="1:33" x14ac:dyDescent="0.25">
      <c r="A55" s="104"/>
      <c r="B55" s="111"/>
      <c r="X55" s="86"/>
      <c r="AG55" s="94"/>
    </row>
    <row r="56" spans="1:33" x14ac:dyDescent="0.25">
      <c r="A56" s="104"/>
      <c r="B56" s="104"/>
      <c r="X56" s="86"/>
      <c r="AG56" s="94"/>
    </row>
    <row r="57" spans="1:33" x14ac:dyDescent="0.25">
      <c r="A57" s="104"/>
      <c r="B57" s="108"/>
      <c r="X57" s="86"/>
      <c r="AG57" s="94"/>
    </row>
    <row r="58" spans="1:33" x14ac:dyDescent="0.25">
      <c r="A58" s="104"/>
      <c r="B58" s="111"/>
      <c r="X58" s="86"/>
      <c r="AG58" s="94"/>
    </row>
    <row r="59" spans="1:33" x14ac:dyDescent="0.25">
      <c r="A59" s="104"/>
      <c r="B59" s="111"/>
      <c r="X59" s="86"/>
      <c r="AG59" s="94"/>
    </row>
    <row r="60" spans="1:33" x14ac:dyDescent="0.25">
      <c r="A60" s="104"/>
      <c r="B60" s="111"/>
      <c r="X60" s="86"/>
      <c r="AG60" s="94"/>
    </row>
    <row r="61" spans="1:33" x14ac:dyDescent="0.25">
      <c r="X61" s="86"/>
      <c r="AG61" s="94"/>
    </row>
    <row r="62" spans="1:33" x14ac:dyDescent="0.25">
      <c r="X62" s="86"/>
      <c r="AG62" s="94"/>
    </row>
    <row r="63" spans="1:33" x14ac:dyDescent="0.25">
      <c r="X63" s="86"/>
      <c r="AG63" s="94"/>
    </row>
    <row r="64" spans="1:33" x14ac:dyDescent="0.25">
      <c r="X64" s="86"/>
      <c r="AG64" s="94"/>
    </row>
    <row r="65" spans="24:33" x14ac:dyDescent="0.25">
      <c r="X65" s="86"/>
      <c r="AG65" s="94"/>
    </row>
    <row r="66" spans="24:33" x14ac:dyDescent="0.25">
      <c r="X66" s="86"/>
      <c r="AG66" s="94"/>
    </row>
    <row r="67" spans="24:33" x14ac:dyDescent="0.25">
      <c r="X67" s="86"/>
      <c r="AG67" s="94"/>
    </row>
    <row r="68" spans="24:33" x14ac:dyDescent="0.25">
      <c r="X68" s="86"/>
      <c r="AG68" s="94"/>
    </row>
    <row r="69" spans="24:33" x14ac:dyDescent="0.25">
      <c r="X69" s="86"/>
      <c r="AG69" s="94"/>
    </row>
    <row r="70" spans="24:33" x14ac:dyDescent="0.25">
      <c r="X70" s="86"/>
      <c r="AG70" s="94"/>
    </row>
    <row r="71" spans="24:33" x14ac:dyDescent="0.25">
      <c r="X71" s="86"/>
      <c r="AG71" s="94"/>
    </row>
    <row r="72" spans="24:33" x14ac:dyDescent="0.25">
      <c r="X72" s="86"/>
      <c r="AG72" s="94"/>
    </row>
    <row r="73" spans="24:33" x14ac:dyDescent="0.25">
      <c r="X73" s="86"/>
      <c r="AG73" s="94"/>
    </row>
    <row r="74" spans="24:33" x14ac:dyDescent="0.25">
      <c r="X74" s="86"/>
      <c r="AG74" s="94"/>
    </row>
    <row r="75" spans="24:33" x14ac:dyDescent="0.25">
      <c r="X75" s="86"/>
      <c r="AG75" s="94"/>
    </row>
    <row r="76" spans="24:33" x14ac:dyDescent="0.25">
      <c r="X76" s="86"/>
      <c r="AG76" s="94"/>
    </row>
    <row r="77" spans="24:33" x14ac:dyDescent="0.25">
      <c r="X77" s="86"/>
      <c r="AG77" s="94"/>
    </row>
    <row r="78" spans="24:33" x14ac:dyDescent="0.25">
      <c r="X78" s="86"/>
      <c r="AG78" s="94"/>
    </row>
    <row r="79" spans="24:33" x14ac:dyDescent="0.25">
      <c r="X79" s="86"/>
      <c r="AG79" s="94"/>
    </row>
    <row r="80" spans="24:33" x14ac:dyDescent="0.25">
      <c r="X80" s="86"/>
      <c r="AG80" s="94"/>
    </row>
    <row r="81" spans="24:33" x14ac:dyDescent="0.25">
      <c r="X81" s="86"/>
      <c r="AG81" s="94"/>
    </row>
    <row r="82" spans="24:33" x14ac:dyDescent="0.25">
      <c r="X82" s="86"/>
      <c r="AG82" s="94"/>
    </row>
    <row r="83" spans="24:33" x14ac:dyDescent="0.25">
      <c r="X83" s="86"/>
      <c r="AG83" s="94"/>
    </row>
    <row r="84" spans="24:33" x14ac:dyDescent="0.25">
      <c r="X84" s="86"/>
      <c r="AG84" s="94"/>
    </row>
    <row r="85" spans="24:33" x14ac:dyDescent="0.25">
      <c r="X85" s="86"/>
      <c r="AG85" s="94"/>
    </row>
    <row r="86" spans="24:33" x14ac:dyDescent="0.25">
      <c r="X86" s="86"/>
      <c r="AG86" s="94"/>
    </row>
    <row r="87" spans="24:33" x14ac:dyDescent="0.25">
      <c r="X87" s="86"/>
      <c r="AG87" s="94"/>
    </row>
    <row r="88" spans="24:33" x14ac:dyDescent="0.25">
      <c r="X88" s="86"/>
      <c r="AG88" s="94"/>
    </row>
    <row r="89" spans="24:33" x14ac:dyDescent="0.25">
      <c r="X89" s="86"/>
      <c r="AG89" s="94"/>
    </row>
    <row r="90" spans="24:33" x14ac:dyDescent="0.25">
      <c r="X90" s="86"/>
      <c r="AG90" s="94"/>
    </row>
    <row r="91" spans="24:33" x14ac:dyDescent="0.25">
      <c r="X91" s="86"/>
      <c r="AG91" s="94"/>
    </row>
    <row r="92" spans="24:33" x14ac:dyDescent="0.25">
      <c r="X92" s="86"/>
      <c r="AG92" s="94"/>
    </row>
    <row r="93" spans="24:33" x14ac:dyDescent="0.25">
      <c r="X93" s="86"/>
      <c r="AG93" s="94"/>
    </row>
    <row r="94" spans="24:33" x14ac:dyDescent="0.25">
      <c r="X94" s="86"/>
      <c r="AG94" s="94"/>
    </row>
    <row r="95" spans="24:33" x14ac:dyDescent="0.25">
      <c r="X95" s="86"/>
      <c r="AG95" s="94"/>
    </row>
    <row r="96" spans="24:33" x14ac:dyDescent="0.25">
      <c r="X96" s="86"/>
      <c r="AG96" s="94"/>
    </row>
    <row r="97" spans="24:33" x14ac:dyDescent="0.25">
      <c r="X97" s="86"/>
      <c r="AG97" s="94"/>
    </row>
    <row r="98" spans="24:33" x14ac:dyDescent="0.25">
      <c r="X98" s="86"/>
      <c r="AG98" s="94"/>
    </row>
    <row r="99" spans="24:33" x14ac:dyDescent="0.25">
      <c r="X99" s="86"/>
      <c r="AG99" s="94"/>
    </row>
    <row r="100" spans="24:33" x14ac:dyDescent="0.25">
      <c r="X100" s="86"/>
      <c r="AG100" s="94"/>
    </row>
    <row r="101" spans="24:33" x14ac:dyDescent="0.25">
      <c r="X101" s="86"/>
      <c r="AG101" s="94"/>
    </row>
    <row r="102" spans="24:33" x14ac:dyDescent="0.25">
      <c r="X102" s="86"/>
      <c r="AG102" s="94"/>
    </row>
    <row r="103" spans="24:33" x14ac:dyDescent="0.25">
      <c r="X103" s="86"/>
      <c r="AG103" s="94"/>
    </row>
    <row r="104" spans="24:33" x14ac:dyDescent="0.25">
      <c r="X104" s="86"/>
      <c r="AG104" s="94"/>
    </row>
    <row r="105" spans="24:33" x14ac:dyDescent="0.25">
      <c r="X105" s="86"/>
      <c r="AG105" s="94"/>
    </row>
    <row r="106" spans="24:33" x14ac:dyDescent="0.25">
      <c r="X106" s="86"/>
      <c r="AG106" s="94"/>
    </row>
    <row r="107" spans="24:33" x14ac:dyDescent="0.25">
      <c r="X107" s="86"/>
      <c r="AG107" s="94"/>
    </row>
    <row r="108" spans="24:33" x14ac:dyDescent="0.25">
      <c r="X108" s="86"/>
      <c r="AG108" s="94"/>
    </row>
    <row r="109" spans="24:33" x14ac:dyDescent="0.25">
      <c r="X109" s="86"/>
      <c r="AG109" s="94"/>
    </row>
    <row r="110" spans="24:33" x14ac:dyDescent="0.25">
      <c r="X110" s="86"/>
      <c r="AG110" s="94"/>
    </row>
    <row r="111" spans="24:33" x14ac:dyDescent="0.25">
      <c r="X111" s="86"/>
      <c r="AG111" s="94"/>
    </row>
    <row r="112" spans="24:33" x14ac:dyDescent="0.25">
      <c r="X112" s="86"/>
      <c r="AG112" s="94"/>
    </row>
    <row r="113" spans="24:33" x14ac:dyDescent="0.25">
      <c r="X113" s="86"/>
      <c r="AG113" s="94"/>
    </row>
    <row r="114" spans="24:33" x14ac:dyDescent="0.25">
      <c r="X114" s="86"/>
      <c r="AG114" s="94"/>
    </row>
    <row r="115" spans="24:33" x14ac:dyDescent="0.25">
      <c r="X115" s="86"/>
      <c r="AG115" s="94"/>
    </row>
    <row r="116" spans="24:33" x14ac:dyDescent="0.25">
      <c r="X116" s="86"/>
      <c r="AG116" s="94"/>
    </row>
    <row r="117" spans="24:33" x14ac:dyDescent="0.25">
      <c r="X117" s="86"/>
      <c r="AG117" s="94"/>
    </row>
    <row r="118" spans="24:33" x14ac:dyDescent="0.25">
      <c r="X118" s="86"/>
      <c r="AG118" s="94"/>
    </row>
    <row r="119" spans="24:33" x14ac:dyDescent="0.25">
      <c r="X119" s="86"/>
      <c r="AG119" s="94"/>
    </row>
    <row r="120" spans="24:33" x14ac:dyDescent="0.25">
      <c r="X120" s="86"/>
      <c r="AG120" s="94"/>
    </row>
    <row r="121" spans="24:33" x14ac:dyDescent="0.25">
      <c r="X121" s="86"/>
      <c r="AG121" s="94"/>
    </row>
    <row r="122" spans="24:33" x14ac:dyDescent="0.25">
      <c r="X122" s="86"/>
      <c r="AG122" s="94"/>
    </row>
    <row r="123" spans="24:33" x14ac:dyDescent="0.25">
      <c r="X123" s="86"/>
      <c r="AG123" s="94"/>
    </row>
    <row r="124" spans="24:33" x14ac:dyDescent="0.25">
      <c r="X124" s="86"/>
      <c r="AG124" s="94"/>
    </row>
    <row r="125" spans="24:33" x14ac:dyDescent="0.25">
      <c r="X125" s="86"/>
      <c r="AG125" s="94"/>
    </row>
    <row r="126" spans="24:33" x14ac:dyDescent="0.25">
      <c r="X126" s="86"/>
      <c r="AG126" s="94"/>
    </row>
    <row r="127" spans="24:33" x14ac:dyDescent="0.25">
      <c r="X127" s="86"/>
      <c r="AG127" s="94"/>
    </row>
    <row r="128" spans="24:33" x14ac:dyDescent="0.25">
      <c r="X128" s="86"/>
      <c r="AG128" s="94"/>
    </row>
    <row r="129" spans="24:33" x14ac:dyDescent="0.25">
      <c r="X129" s="86"/>
      <c r="AG129" s="94"/>
    </row>
    <row r="130" spans="24:33" x14ac:dyDescent="0.25">
      <c r="X130" s="86"/>
      <c r="AG130" s="94"/>
    </row>
    <row r="131" spans="24:33" x14ac:dyDescent="0.25">
      <c r="X131" s="86"/>
      <c r="AG131" s="94"/>
    </row>
    <row r="132" spans="24:33" x14ac:dyDescent="0.25">
      <c r="X132" s="86"/>
      <c r="AG132" s="94"/>
    </row>
    <row r="133" spans="24:33" x14ac:dyDescent="0.25">
      <c r="X133" s="86"/>
      <c r="AG133" s="94"/>
    </row>
    <row r="134" spans="24:33" x14ac:dyDescent="0.25">
      <c r="X134" s="86"/>
      <c r="AG134" s="94"/>
    </row>
    <row r="135" spans="24:33" x14ac:dyDescent="0.25">
      <c r="X135" s="86"/>
      <c r="AG135" s="94"/>
    </row>
    <row r="136" spans="24:33" x14ac:dyDescent="0.25">
      <c r="X136" s="86"/>
      <c r="AG136" s="94"/>
    </row>
    <row r="137" spans="24:33" x14ac:dyDescent="0.25">
      <c r="X137" s="86"/>
      <c r="AG137" s="94"/>
    </row>
    <row r="138" spans="24:33" x14ac:dyDescent="0.25">
      <c r="X138" s="86"/>
      <c r="AG138" s="94"/>
    </row>
    <row r="139" spans="24:33" x14ac:dyDescent="0.25">
      <c r="X139" s="86"/>
      <c r="AG139" s="94"/>
    </row>
    <row r="140" spans="24:33" x14ac:dyDescent="0.25">
      <c r="X140" s="86"/>
      <c r="AG140" s="94"/>
    </row>
    <row r="141" spans="24:33" x14ac:dyDescent="0.25">
      <c r="X141" s="86"/>
      <c r="AG141" s="94"/>
    </row>
    <row r="142" spans="24:33" x14ac:dyDescent="0.25">
      <c r="X142" s="86"/>
      <c r="AG142" s="94"/>
    </row>
    <row r="143" spans="24:33" x14ac:dyDescent="0.25">
      <c r="X143" s="86"/>
      <c r="AG143" s="94"/>
    </row>
    <row r="144" spans="24:33" x14ac:dyDescent="0.25">
      <c r="X144" s="86"/>
      <c r="AG144" s="94"/>
    </row>
    <row r="145" spans="24:33" x14ac:dyDescent="0.25">
      <c r="X145" s="86"/>
      <c r="AG145" s="94"/>
    </row>
    <row r="146" spans="24:33" x14ac:dyDescent="0.25">
      <c r="X146" s="86"/>
      <c r="AG146" s="94"/>
    </row>
    <row r="147" spans="24:33" x14ac:dyDescent="0.25">
      <c r="X147" s="86"/>
      <c r="AG147" s="94"/>
    </row>
    <row r="148" spans="24:33" x14ac:dyDescent="0.25">
      <c r="X148" s="86"/>
      <c r="AG148" s="94"/>
    </row>
    <row r="149" spans="24:33" x14ac:dyDescent="0.25">
      <c r="X149" s="86"/>
      <c r="AG149" s="94"/>
    </row>
    <row r="150" spans="24:33" x14ac:dyDescent="0.25">
      <c r="X150" s="86"/>
      <c r="AG150" s="94"/>
    </row>
    <row r="151" spans="24:33" x14ac:dyDescent="0.25">
      <c r="X151" s="86"/>
      <c r="AG151" s="94"/>
    </row>
    <row r="152" spans="24:33" x14ac:dyDescent="0.25">
      <c r="X152" s="86"/>
      <c r="AG152" s="94"/>
    </row>
    <row r="153" spans="24:33" x14ac:dyDescent="0.25">
      <c r="X153" s="86"/>
      <c r="AG153" s="94"/>
    </row>
    <row r="154" spans="24:33" x14ac:dyDescent="0.25">
      <c r="X154" s="86"/>
      <c r="AG154" s="94"/>
    </row>
    <row r="155" spans="24:33" x14ac:dyDescent="0.25">
      <c r="X155" s="86"/>
      <c r="AG155" s="94"/>
    </row>
    <row r="156" spans="24:33" x14ac:dyDescent="0.25">
      <c r="X156" s="86"/>
      <c r="AG156" s="94"/>
    </row>
    <row r="157" spans="24:33" x14ac:dyDescent="0.25">
      <c r="X157" s="86"/>
      <c r="AG157" s="94"/>
    </row>
    <row r="158" spans="24:33" x14ac:dyDescent="0.25">
      <c r="X158" s="86"/>
      <c r="AG158" s="94"/>
    </row>
    <row r="159" spans="24:33" x14ac:dyDescent="0.25">
      <c r="X159" s="86"/>
      <c r="AG159" s="94"/>
    </row>
    <row r="160" spans="24:33" x14ac:dyDescent="0.25">
      <c r="X160" s="86"/>
      <c r="AG160" s="94"/>
    </row>
    <row r="161" spans="24:33" x14ac:dyDescent="0.25">
      <c r="X161" s="86"/>
      <c r="AG161" s="94"/>
    </row>
    <row r="162" spans="24:33" x14ac:dyDescent="0.25">
      <c r="X162" s="86"/>
      <c r="AG162" s="94"/>
    </row>
    <row r="163" spans="24:33" x14ac:dyDescent="0.25">
      <c r="X163" s="86"/>
      <c r="AG163" s="94"/>
    </row>
    <row r="164" spans="24:33" x14ac:dyDescent="0.25">
      <c r="X164" s="86"/>
      <c r="AG164" s="94"/>
    </row>
    <row r="165" spans="24:33" x14ac:dyDescent="0.25">
      <c r="X165" s="86"/>
      <c r="AG165" s="94"/>
    </row>
    <row r="166" spans="24:33" x14ac:dyDescent="0.25">
      <c r="X166" s="86"/>
      <c r="AG166" s="94"/>
    </row>
    <row r="167" spans="24:33" x14ac:dyDescent="0.25">
      <c r="X167" s="86"/>
      <c r="AG167" s="94"/>
    </row>
    <row r="168" spans="24:33" x14ac:dyDescent="0.25">
      <c r="X168" s="86"/>
      <c r="AG168" s="94"/>
    </row>
    <row r="169" spans="24:33" x14ac:dyDescent="0.25">
      <c r="X169" s="86"/>
      <c r="AG169" s="94"/>
    </row>
    <row r="170" spans="24:33" x14ac:dyDescent="0.25">
      <c r="X170" s="86"/>
      <c r="AG170" s="94"/>
    </row>
    <row r="171" spans="24:33" x14ac:dyDescent="0.25">
      <c r="X171" s="86"/>
      <c r="AG171" s="94"/>
    </row>
    <row r="172" spans="24:33" x14ac:dyDescent="0.25">
      <c r="X172" s="86"/>
      <c r="AG172" s="94"/>
    </row>
    <row r="173" spans="24:33" x14ac:dyDescent="0.25">
      <c r="X173" s="86"/>
      <c r="AG173" s="94"/>
    </row>
    <row r="174" spans="24:33" x14ac:dyDescent="0.25">
      <c r="X174" s="86"/>
      <c r="AG174" s="94"/>
    </row>
    <row r="175" spans="24:33" x14ac:dyDescent="0.25">
      <c r="X175" s="86"/>
      <c r="AG175" s="94"/>
    </row>
    <row r="176" spans="24:33" x14ac:dyDescent="0.25">
      <c r="X176" s="86"/>
      <c r="AG176" s="94"/>
    </row>
    <row r="177" spans="24:33" x14ac:dyDescent="0.25">
      <c r="X177" s="86"/>
      <c r="AG177" s="94"/>
    </row>
    <row r="178" spans="24:33" x14ac:dyDescent="0.25">
      <c r="X178" s="86"/>
      <c r="AG178" s="94"/>
    </row>
    <row r="179" spans="24:33" x14ac:dyDescent="0.25">
      <c r="X179" s="86"/>
      <c r="AG179" s="94"/>
    </row>
    <row r="180" spans="24:33" x14ac:dyDescent="0.25">
      <c r="X180" s="86"/>
      <c r="AG180" s="94"/>
    </row>
    <row r="181" spans="24:33" x14ac:dyDescent="0.25">
      <c r="X181" s="86"/>
      <c r="AG181" s="94"/>
    </row>
    <row r="182" spans="24:33" x14ac:dyDescent="0.25">
      <c r="X182" s="86"/>
      <c r="AG182" s="94"/>
    </row>
    <row r="183" spans="24:33" x14ac:dyDescent="0.25">
      <c r="X183" s="86"/>
      <c r="AG183" s="94"/>
    </row>
    <row r="184" spans="24:33" x14ac:dyDescent="0.25">
      <c r="X184" s="86"/>
      <c r="AG184" s="94"/>
    </row>
    <row r="185" spans="24:33" x14ac:dyDescent="0.25">
      <c r="X185" s="86"/>
      <c r="AG185" s="94"/>
    </row>
    <row r="186" spans="24:33" x14ac:dyDescent="0.25">
      <c r="X186" s="86"/>
      <c r="AG186" s="94"/>
    </row>
    <row r="187" spans="24:33" x14ac:dyDescent="0.25">
      <c r="X187" s="86"/>
      <c r="AG187" s="94"/>
    </row>
    <row r="188" spans="24:33" x14ac:dyDescent="0.25">
      <c r="X188" s="86"/>
      <c r="AG188" s="94"/>
    </row>
    <row r="189" spans="24:33" x14ac:dyDescent="0.25">
      <c r="X189" s="86"/>
      <c r="AG189" s="94"/>
    </row>
    <row r="190" spans="24:33" x14ac:dyDescent="0.25">
      <c r="X190" s="86"/>
      <c r="AG190" s="94"/>
    </row>
    <row r="191" spans="24:33" x14ac:dyDescent="0.25">
      <c r="X191" s="86"/>
      <c r="AG191" s="94"/>
    </row>
    <row r="192" spans="24:33" x14ac:dyDescent="0.25">
      <c r="X192" s="86"/>
      <c r="AG192" s="94"/>
    </row>
    <row r="193" spans="24:33" x14ac:dyDescent="0.25">
      <c r="X193" s="86"/>
      <c r="AG193" s="94"/>
    </row>
    <row r="194" spans="24:33" x14ac:dyDescent="0.25">
      <c r="X194" s="86"/>
      <c r="AG194" s="94"/>
    </row>
    <row r="195" spans="24:33" x14ac:dyDescent="0.25">
      <c r="X195" s="86"/>
      <c r="AG195" s="94"/>
    </row>
    <row r="196" spans="24:33" x14ac:dyDescent="0.25">
      <c r="X196" s="86"/>
      <c r="AG196" s="94"/>
    </row>
    <row r="197" spans="24:33" x14ac:dyDescent="0.25">
      <c r="X197" s="86"/>
      <c r="AG197" s="94"/>
    </row>
    <row r="198" spans="24:33" x14ac:dyDescent="0.25">
      <c r="X198" s="86"/>
      <c r="AG198" s="94"/>
    </row>
    <row r="199" spans="24:33" x14ac:dyDescent="0.25">
      <c r="X199" s="86"/>
      <c r="AG199" s="94"/>
    </row>
    <row r="200" spans="24:33" x14ac:dyDescent="0.25">
      <c r="X200" s="86"/>
      <c r="AG200" s="94"/>
    </row>
    <row r="201" spans="24:33" x14ac:dyDescent="0.25">
      <c r="X201" s="86"/>
      <c r="AG201" s="94"/>
    </row>
    <row r="202" spans="24:33" x14ac:dyDescent="0.25">
      <c r="X202" s="86"/>
      <c r="AG202" s="94"/>
    </row>
    <row r="203" spans="24:33" x14ac:dyDescent="0.25">
      <c r="X203" s="86"/>
      <c r="AG203" s="94"/>
    </row>
    <row r="204" spans="24:33" x14ac:dyDescent="0.25">
      <c r="X204" s="86"/>
      <c r="AG204" s="94"/>
    </row>
    <row r="205" spans="24:33" x14ac:dyDescent="0.25">
      <c r="X205" s="86"/>
      <c r="AG205" s="94"/>
    </row>
    <row r="206" spans="24:33" x14ac:dyDescent="0.25">
      <c r="X206" s="86"/>
      <c r="AG206" s="94"/>
    </row>
    <row r="207" spans="24:33" x14ac:dyDescent="0.25">
      <c r="X207" s="86"/>
      <c r="AG207" s="94"/>
    </row>
    <row r="208" spans="24:33" x14ac:dyDescent="0.25">
      <c r="X208" s="86"/>
      <c r="AG208" s="94"/>
    </row>
    <row r="209" spans="24:33" x14ac:dyDescent="0.25">
      <c r="X209" s="86"/>
      <c r="AG209" s="94"/>
    </row>
    <row r="210" spans="24:33" x14ac:dyDescent="0.25">
      <c r="X210" s="86"/>
      <c r="AG210" s="94"/>
    </row>
    <row r="211" spans="24:33" x14ac:dyDescent="0.25">
      <c r="X211" s="86"/>
      <c r="AG211" s="94"/>
    </row>
    <row r="212" spans="24:33" x14ac:dyDescent="0.25">
      <c r="X212" s="86"/>
      <c r="AG212" s="94"/>
    </row>
    <row r="213" spans="24:33" x14ac:dyDescent="0.25">
      <c r="X213" s="86"/>
      <c r="AG213" s="94"/>
    </row>
    <row r="214" spans="24:33" x14ac:dyDescent="0.25">
      <c r="X214" s="86"/>
      <c r="AG214" s="94"/>
    </row>
    <row r="215" spans="24:33" x14ac:dyDescent="0.25">
      <c r="X215" s="86"/>
      <c r="AG215" s="94"/>
    </row>
    <row r="216" spans="24:33" x14ac:dyDescent="0.25">
      <c r="X216" s="86"/>
      <c r="AG216" s="94"/>
    </row>
    <row r="217" spans="24:33" x14ac:dyDescent="0.25">
      <c r="X217" s="86"/>
      <c r="AG217" s="94"/>
    </row>
    <row r="218" spans="24:33" x14ac:dyDescent="0.25">
      <c r="X218" s="86"/>
      <c r="AG218" s="94"/>
    </row>
    <row r="219" spans="24:33" x14ac:dyDescent="0.25">
      <c r="X219" s="86"/>
      <c r="AG219" s="94"/>
    </row>
    <row r="220" spans="24:33" x14ac:dyDescent="0.25">
      <c r="X220" s="86"/>
      <c r="AG220" s="94"/>
    </row>
    <row r="221" spans="24:33" x14ac:dyDescent="0.25">
      <c r="X221" s="86"/>
      <c r="AG221" s="94"/>
    </row>
    <row r="222" spans="24:33" x14ac:dyDescent="0.25">
      <c r="X222" s="86"/>
      <c r="AG222" s="94"/>
    </row>
    <row r="223" spans="24:33" x14ac:dyDescent="0.25">
      <c r="X223" s="86"/>
      <c r="AG223" s="94"/>
    </row>
    <row r="224" spans="24:33" x14ac:dyDescent="0.25">
      <c r="X224" s="86"/>
      <c r="AG224" s="94"/>
    </row>
    <row r="225" spans="24:33" x14ac:dyDescent="0.25">
      <c r="X225" s="86"/>
      <c r="AG225" s="94"/>
    </row>
    <row r="226" spans="24:33" x14ac:dyDescent="0.25">
      <c r="X226" s="86"/>
      <c r="AG226" s="94"/>
    </row>
    <row r="227" spans="24:33" x14ac:dyDescent="0.25">
      <c r="X227" s="86"/>
      <c r="AG227" s="94"/>
    </row>
    <row r="228" spans="24:33" x14ac:dyDescent="0.25">
      <c r="X228" s="86"/>
      <c r="AG228" s="94"/>
    </row>
    <row r="229" spans="24:33" x14ac:dyDescent="0.25">
      <c r="X229" s="86"/>
      <c r="AG229" s="94"/>
    </row>
    <row r="230" spans="24:33" x14ac:dyDescent="0.25">
      <c r="X230" s="86"/>
      <c r="AG230" s="94"/>
    </row>
    <row r="231" spans="24:33" x14ac:dyDescent="0.25">
      <c r="X231" s="86"/>
      <c r="AG231" s="94"/>
    </row>
    <row r="232" spans="24:33" x14ac:dyDescent="0.25">
      <c r="X232" s="86"/>
      <c r="AG232" s="94"/>
    </row>
    <row r="233" spans="24:33" x14ac:dyDescent="0.25">
      <c r="X233" s="86"/>
      <c r="AG233" s="94"/>
    </row>
    <row r="234" spans="24:33" x14ac:dyDescent="0.25">
      <c r="X234" s="86"/>
      <c r="AG234" s="94"/>
    </row>
    <row r="235" spans="24:33" x14ac:dyDescent="0.25">
      <c r="X235" s="86"/>
      <c r="AG235" s="94"/>
    </row>
    <row r="236" spans="24:33" x14ac:dyDescent="0.25">
      <c r="X236" s="86"/>
      <c r="AG236" s="94"/>
    </row>
    <row r="237" spans="24:33" x14ac:dyDescent="0.25">
      <c r="X237" s="86"/>
      <c r="AG237" s="94"/>
    </row>
    <row r="238" spans="24:33" x14ac:dyDescent="0.25">
      <c r="X238" s="86"/>
      <c r="AG238" s="94"/>
    </row>
    <row r="239" spans="24:33" x14ac:dyDescent="0.25">
      <c r="X239" s="86"/>
      <c r="AG239" s="94"/>
    </row>
    <row r="240" spans="24:33" x14ac:dyDescent="0.25">
      <c r="X240" s="86"/>
      <c r="AG240" s="94"/>
    </row>
    <row r="241" spans="24:33" x14ac:dyDescent="0.25">
      <c r="X241" s="86"/>
      <c r="AG241" s="94"/>
    </row>
    <row r="242" spans="24:33" x14ac:dyDescent="0.25">
      <c r="X242" s="86"/>
      <c r="AG242" s="94"/>
    </row>
    <row r="243" spans="24:33" x14ac:dyDescent="0.25">
      <c r="X243" s="86"/>
      <c r="AG243" s="94"/>
    </row>
    <row r="244" spans="24:33" x14ac:dyDescent="0.25">
      <c r="X244" s="86"/>
      <c r="AG244" s="94"/>
    </row>
    <row r="245" spans="24:33" x14ac:dyDescent="0.25">
      <c r="X245" s="86"/>
      <c r="AG245" s="94"/>
    </row>
    <row r="246" spans="24:33" x14ac:dyDescent="0.25">
      <c r="X246" s="86"/>
      <c r="AG246" s="94"/>
    </row>
    <row r="247" spans="24:33" x14ac:dyDescent="0.25">
      <c r="X247" s="86"/>
      <c r="AG247" s="94"/>
    </row>
    <row r="248" spans="24:33" x14ac:dyDescent="0.25">
      <c r="X248" s="86"/>
      <c r="AG248" s="94"/>
    </row>
    <row r="249" spans="24:33" x14ac:dyDescent="0.25">
      <c r="X249" s="86"/>
      <c r="AG249" s="94"/>
    </row>
    <row r="250" spans="24:33" x14ac:dyDescent="0.25">
      <c r="X250" s="86"/>
      <c r="AG250" s="94"/>
    </row>
    <row r="251" spans="24:33" x14ac:dyDescent="0.25">
      <c r="X251" s="86"/>
      <c r="AG251" s="94"/>
    </row>
    <row r="252" spans="24:33" x14ac:dyDescent="0.25">
      <c r="X252" s="86"/>
      <c r="AG252" s="94"/>
    </row>
    <row r="253" spans="24:33" x14ac:dyDescent="0.25">
      <c r="X253" s="86"/>
      <c r="AG253" s="94"/>
    </row>
    <row r="254" spans="24:33" x14ac:dyDescent="0.25">
      <c r="X254" s="86"/>
      <c r="AG254" s="94"/>
    </row>
    <row r="255" spans="24:33" x14ac:dyDescent="0.25">
      <c r="X255" s="86"/>
      <c r="AG255" s="94"/>
    </row>
    <row r="256" spans="24:33" x14ac:dyDescent="0.25">
      <c r="X256" s="86"/>
      <c r="AG256" s="94"/>
    </row>
    <row r="257" spans="24:33" x14ac:dyDescent="0.25">
      <c r="X257" s="86"/>
      <c r="AG257" s="94"/>
    </row>
    <row r="258" spans="24:33" x14ac:dyDescent="0.25">
      <c r="X258" s="86"/>
      <c r="AG258" s="94"/>
    </row>
    <row r="259" spans="24:33" x14ac:dyDescent="0.25">
      <c r="X259" s="86"/>
      <c r="AG259" s="94"/>
    </row>
    <row r="260" spans="24:33" x14ac:dyDescent="0.25">
      <c r="X260" s="86"/>
      <c r="AG260" s="94"/>
    </row>
    <row r="261" spans="24:33" x14ac:dyDescent="0.25">
      <c r="X261" s="86"/>
      <c r="AG261" s="94"/>
    </row>
    <row r="262" spans="24:33" x14ac:dyDescent="0.25">
      <c r="X262" s="86"/>
      <c r="AG262" s="94"/>
    </row>
    <row r="263" spans="24:33" x14ac:dyDescent="0.25">
      <c r="X263" s="86"/>
      <c r="AG263" s="94"/>
    </row>
    <row r="264" spans="24:33" x14ac:dyDescent="0.25">
      <c r="X264" s="86"/>
      <c r="AG264" s="94"/>
    </row>
    <row r="265" spans="24:33" x14ac:dyDescent="0.25">
      <c r="X265" s="86"/>
      <c r="AG265" s="94"/>
    </row>
    <row r="266" spans="24:33" x14ac:dyDescent="0.25">
      <c r="X266" s="86"/>
      <c r="AG266" s="94"/>
    </row>
    <row r="267" spans="24:33" x14ac:dyDescent="0.25">
      <c r="X267" s="86"/>
      <c r="AG267" s="94"/>
    </row>
    <row r="268" spans="24:33" x14ac:dyDescent="0.25">
      <c r="X268" s="86"/>
      <c r="AG268" s="94"/>
    </row>
    <row r="269" spans="24:33" x14ac:dyDescent="0.25">
      <c r="X269" s="86"/>
      <c r="AG269" s="94"/>
    </row>
    <row r="270" spans="24:33" x14ac:dyDescent="0.25">
      <c r="X270" s="86"/>
      <c r="AG270" s="94"/>
    </row>
    <row r="271" spans="24:33" x14ac:dyDescent="0.25">
      <c r="X271" s="86"/>
      <c r="AG271" s="94"/>
    </row>
    <row r="272" spans="24:33" x14ac:dyDescent="0.25">
      <c r="X272" s="86"/>
      <c r="AG272" s="94"/>
    </row>
    <row r="273" spans="24:33" x14ac:dyDescent="0.25">
      <c r="X273" s="86"/>
      <c r="AG273" s="94"/>
    </row>
    <row r="274" spans="24:33" x14ac:dyDescent="0.25">
      <c r="X274" s="86"/>
      <c r="AG274" s="94"/>
    </row>
    <row r="275" spans="24:33" x14ac:dyDescent="0.25">
      <c r="X275" s="86"/>
      <c r="AG275" s="94"/>
    </row>
    <row r="276" spans="24:33" x14ac:dyDescent="0.25">
      <c r="X276" s="86"/>
      <c r="AG276" s="94"/>
    </row>
    <row r="277" spans="24:33" x14ac:dyDescent="0.25">
      <c r="X277" s="86"/>
      <c r="AG277" s="94"/>
    </row>
    <row r="278" spans="24:33" x14ac:dyDescent="0.25">
      <c r="X278" s="86"/>
      <c r="AG278" s="94"/>
    </row>
    <row r="279" spans="24:33" x14ac:dyDescent="0.25">
      <c r="X279" s="86"/>
      <c r="AG279" s="94"/>
    </row>
    <row r="280" spans="24:33" x14ac:dyDescent="0.25">
      <c r="X280" s="86"/>
      <c r="AG280" s="94"/>
    </row>
    <row r="281" spans="24:33" x14ac:dyDescent="0.25">
      <c r="X281" s="86"/>
      <c r="AG281" s="94"/>
    </row>
    <row r="282" spans="24:33" x14ac:dyDescent="0.25">
      <c r="X282" s="86"/>
      <c r="AG282" s="94"/>
    </row>
    <row r="283" spans="24:33" x14ac:dyDescent="0.25">
      <c r="X283" s="86"/>
      <c r="AG283" s="94"/>
    </row>
    <row r="284" spans="24:33" x14ac:dyDescent="0.25">
      <c r="X284" s="86"/>
      <c r="AG284" s="94"/>
    </row>
    <row r="285" spans="24:33" x14ac:dyDescent="0.25">
      <c r="X285" s="86"/>
      <c r="AG285" s="94"/>
    </row>
    <row r="286" spans="24:33" x14ac:dyDescent="0.25">
      <c r="X286" s="86"/>
      <c r="AG286" s="94"/>
    </row>
    <row r="287" spans="24:33" x14ac:dyDescent="0.25">
      <c r="X287" s="86"/>
      <c r="AG287" s="94"/>
    </row>
    <row r="288" spans="24:33" x14ac:dyDescent="0.25">
      <c r="X288" s="86"/>
      <c r="AG288" s="94"/>
    </row>
    <row r="289" spans="24:33" x14ac:dyDescent="0.25">
      <c r="X289" s="86"/>
      <c r="AG289" s="94"/>
    </row>
    <row r="290" spans="24:33" x14ac:dyDescent="0.25">
      <c r="X290" s="86"/>
      <c r="AG290" s="94"/>
    </row>
    <row r="291" spans="24:33" x14ac:dyDescent="0.25">
      <c r="X291" s="86"/>
      <c r="AG291" s="94"/>
    </row>
    <row r="292" spans="24:33" x14ac:dyDescent="0.25">
      <c r="X292" s="86"/>
      <c r="AG292" s="94"/>
    </row>
    <row r="293" spans="24:33" x14ac:dyDescent="0.25">
      <c r="X293" s="86"/>
      <c r="AG293" s="94"/>
    </row>
    <row r="294" spans="24:33" x14ac:dyDescent="0.25">
      <c r="X294" s="86"/>
      <c r="AG294" s="94"/>
    </row>
    <row r="295" spans="24:33" x14ac:dyDescent="0.25">
      <c r="X295" s="86"/>
      <c r="AG295" s="94"/>
    </row>
    <row r="296" spans="24:33" x14ac:dyDescent="0.25">
      <c r="X296" s="86"/>
      <c r="AG296" s="94"/>
    </row>
    <row r="297" spans="24:33" x14ac:dyDescent="0.25">
      <c r="X297" s="86"/>
      <c r="AG297" s="94"/>
    </row>
    <row r="298" spans="24:33" x14ac:dyDescent="0.25">
      <c r="X298" s="86"/>
      <c r="AG298" s="94"/>
    </row>
    <row r="299" spans="24:33" x14ac:dyDescent="0.25">
      <c r="X299" s="86"/>
      <c r="AG299" s="94"/>
    </row>
    <row r="300" spans="24:33" x14ac:dyDescent="0.25">
      <c r="X300" s="86"/>
      <c r="AG300" s="94"/>
    </row>
    <row r="301" spans="24:33" x14ac:dyDescent="0.25">
      <c r="X301" s="86"/>
      <c r="AG301" s="94"/>
    </row>
    <row r="302" spans="24:33" x14ac:dyDescent="0.25">
      <c r="X302" s="86"/>
      <c r="AG302" s="94"/>
    </row>
    <row r="303" spans="24:33" x14ac:dyDescent="0.25">
      <c r="X303" s="86"/>
      <c r="AG303" s="94"/>
    </row>
    <row r="304" spans="24:33" x14ac:dyDescent="0.25">
      <c r="X304" s="86"/>
      <c r="AG304" s="94"/>
    </row>
    <row r="305" spans="24:33" x14ac:dyDescent="0.25">
      <c r="X305" s="86"/>
      <c r="AG305" s="94"/>
    </row>
    <row r="306" spans="24:33" x14ac:dyDescent="0.25">
      <c r="X306" s="86"/>
      <c r="AG306" s="94"/>
    </row>
    <row r="307" spans="24:33" x14ac:dyDescent="0.25">
      <c r="X307" s="86"/>
      <c r="AG307" s="94"/>
    </row>
    <row r="308" spans="24:33" x14ac:dyDescent="0.25">
      <c r="X308" s="86"/>
      <c r="AG308" s="94"/>
    </row>
    <row r="309" spans="24:33" x14ac:dyDescent="0.25">
      <c r="X309" s="86"/>
      <c r="AG309" s="94"/>
    </row>
    <row r="310" spans="24:33" x14ac:dyDescent="0.25">
      <c r="X310" s="86"/>
      <c r="AG310" s="94"/>
    </row>
    <row r="311" spans="24:33" x14ac:dyDescent="0.25">
      <c r="X311" s="86"/>
      <c r="AG311" s="94"/>
    </row>
    <row r="312" spans="24:33" x14ac:dyDescent="0.25">
      <c r="X312" s="86"/>
      <c r="AG312" s="94"/>
    </row>
    <row r="313" spans="24:33" x14ac:dyDescent="0.25">
      <c r="X313" s="86"/>
      <c r="AG313" s="94"/>
    </row>
    <row r="314" spans="24:33" x14ac:dyDescent="0.25">
      <c r="X314" s="86"/>
      <c r="AG314" s="94"/>
    </row>
    <row r="315" spans="24:33" x14ac:dyDescent="0.25">
      <c r="X315" s="86"/>
      <c r="AG315" s="94"/>
    </row>
    <row r="316" spans="24:33" x14ac:dyDescent="0.25">
      <c r="X316" s="86"/>
      <c r="AG316" s="94"/>
    </row>
    <row r="317" spans="24:33" x14ac:dyDescent="0.25">
      <c r="X317" s="86"/>
      <c r="AG317" s="94"/>
    </row>
    <row r="318" spans="24:33" x14ac:dyDescent="0.25">
      <c r="X318" s="86"/>
      <c r="AG318" s="94"/>
    </row>
    <row r="319" spans="24:33" x14ac:dyDescent="0.25">
      <c r="X319" s="86"/>
      <c r="AG319" s="94"/>
    </row>
    <row r="320" spans="24:33" x14ac:dyDescent="0.25">
      <c r="X320" s="86"/>
      <c r="AG320" s="94"/>
    </row>
    <row r="321" spans="24:33" x14ac:dyDescent="0.25">
      <c r="X321" s="86"/>
      <c r="AG321" s="94"/>
    </row>
    <row r="322" spans="24:33" x14ac:dyDescent="0.25">
      <c r="X322" s="86"/>
      <c r="AG322" s="94"/>
    </row>
    <row r="323" spans="24:33" x14ac:dyDescent="0.25">
      <c r="X323" s="86"/>
      <c r="AG323" s="94"/>
    </row>
    <row r="324" spans="24:33" x14ac:dyDescent="0.25">
      <c r="X324" s="86"/>
      <c r="AG324" s="94"/>
    </row>
    <row r="325" spans="24:33" x14ac:dyDescent="0.25">
      <c r="X325" s="86"/>
      <c r="AG325" s="94"/>
    </row>
    <row r="326" spans="24:33" x14ac:dyDescent="0.25">
      <c r="X326" s="86"/>
      <c r="AG326" s="94"/>
    </row>
    <row r="327" spans="24:33" x14ac:dyDescent="0.25">
      <c r="X327" s="86"/>
      <c r="AG327" s="94"/>
    </row>
    <row r="328" spans="24:33" x14ac:dyDescent="0.25">
      <c r="X328" s="86"/>
      <c r="AG328" s="94"/>
    </row>
    <row r="329" spans="24:33" x14ac:dyDescent="0.25">
      <c r="X329" s="86"/>
      <c r="AG329" s="94"/>
    </row>
    <row r="330" spans="24:33" x14ac:dyDescent="0.25">
      <c r="X330" s="86"/>
      <c r="AG330" s="94"/>
    </row>
    <row r="331" spans="24:33" x14ac:dyDescent="0.25">
      <c r="X331" s="86"/>
      <c r="AG331" s="94"/>
    </row>
    <row r="332" spans="24:33" x14ac:dyDescent="0.25">
      <c r="X332" s="86"/>
      <c r="AG332" s="94"/>
    </row>
    <row r="333" spans="24:33" x14ac:dyDescent="0.25">
      <c r="X333" s="86"/>
      <c r="AG333" s="94"/>
    </row>
    <row r="334" spans="24:33" x14ac:dyDescent="0.25">
      <c r="X334" s="86"/>
      <c r="AG334" s="94"/>
    </row>
    <row r="335" spans="24:33" x14ac:dyDescent="0.25">
      <c r="X335" s="86"/>
      <c r="AG335" s="94"/>
    </row>
    <row r="336" spans="24:33" x14ac:dyDescent="0.25">
      <c r="X336" s="86"/>
      <c r="AG336" s="94"/>
    </row>
    <row r="337" spans="24:33" x14ac:dyDescent="0.25">
      <c r="X337" s="86"/>
      <c r="AG337" s="94"/>
    </row>
    <row r="338" spans="24:33" x14ac:dyDescent="0.25">
      <c r="X338" s="86"/>
      <c r="AG338" s="94"/>
    </row>
    <row r="339" spans="24:33" x14ac:dyDescent="0.25">
      <c r="X339" s="86"/>
      <c r="AG339" s="94"/>
    </row>
    <row r="340" spans="24:33" x14ac:dyDescent="0.25">
      <c r="X340" s="86"/>
      <c r="AG340" s="94"/>
    </row>
    <row r="341" spans="24:33" x14ac:dyDescent="0.25">
      <c r="X341" s="86"/>
      <c r="AG341" s="94"/>
    </row>
    <row r="342" spans="24:33" x14ac:dyDescent="0.25">
      <c r="X342" s="86"/>
      <c r="AG342" s="94"/>
    </row>
    <row r="343" spans="24:33" x14ac:dyDescent="0.25">
      <c r="X343" s="86"/>
      <c r="AG343" s="94"/>
    </row>
    <row r="344" spans="24:33" x14ac:dyDescent="0.25">
      <c r="X344" s="86"/>
      <c r="AG344" s="94"/>
    </row>
    <row r="345" spans="24:33" x14ac:dyDescent="0.25">
      <c r="X345" s="86"/>
      <c r="AG345" s="94"/>
    </row>
    <row r="346" spans="24:33" x14ac:dyDescent="0.25">
      <c r="X346" s="86"/>
      <c r="AG346" s="94"/>
    </row>
    <row r="347" spans="24:33" x14ac:dyDescent="0.25">
      <c r="X347" s="86"/>
      <c r="AG347" s="94"/>
    </row>
    <row r="348" spans="24:33" x14ac:dyDescent="0.25">
      <c r="X348" s="86"/>
      <c r="AG348" s="94"/>
    </row>
    <row r="349" spans="24:33" x14ac:dyDescent="0.25">
      <c r="X349" s="86"/>
      <c r="AG349" s="94"/>
    </row>
    <row r="350" spans="24:33" x14ac:dyDescent="0.25">
      <c r="X350" s="86"/>
      <c r="AG350" s="94"/>
    </row>
    <row r="351" spans="24:33" x14ac:dyDescent="0.25">
      <c r="X351" s="86"/>
      <c r="AG351" s="94"/>
    </row>
    <row r="352" spans="24:33" x14ac:dyDescent="0.25">
      <c r="X352" s="86"/>
      <c r="AG352" s="94"/>
    </row>
    <row r="353" spans="24:33" x14ac:dyDescent="0.25">
      <c r="X353" s="86"/>
      <c r="AG353" s="94"/>
    </row>
    <row r="354" spans="24:33" x14ac:dyDescent="0.25">
      <c r="X354" s="86"/>
      <c r="AG354" s="94"/>
    </row>
    <row r="355" spans="24:33" x14ac:dyDescent="0.25">
      <c r="X355" s="86"/>
      <c r="AG355" s="94"/>
    </row>
    <row r="356" spans="24:33" x14ac:dyDescent="0.25">
      <c r="X356" s="86"/>
      <c r="AG356" s="94"/>
    </row>
    <row r="357" spans="24:33" x14ac:dyDescent="0.25">
      <c r="X357" s="86"/>
      <c r="AG357" s="94"/>
    </row>
    <row r="358" spans="24:33" x14ac:dyDescent="0.25">
      <c r="X358" s="86"/>
      <c r="AG358" s="94"/>
    </row>
    <row r="359" spans="24:33" x14ac:dyDescent="0.25">
      <c r="X359" s="86"/>
      <c r="AG359" s="94"/>
    </row>
    <row r="360" spans="24:33" x14ac:dyDescent="0.25">
      <c r="X360" s="86"/>
      <c r="AG360" s="94"/>
    </row>
    <row r="361" spans="24:33" x14ac:dyDescent="0.25">
      <c r="X361" s="86"/>
      <c r="AG361" s="94"/>
    </row>
    <row r="362" spans="24:33" x14ac:dyDescent="0.25">
      <c r="X362" s="86"/>
      <c r="AG362" s="94"/>
    </row>
    <row r="363" spans="24:33" x14ac:dyDescent="0.25">
      <c r="X363" s="86"/>
      <c r="AG363" s="94"/>
    </row>
    <row r="364" spans="24:33" x14ac:dyDescent="0.25">
      <c r="X364" s="86"/>
      <c r="AG364" s="94"/>
    </row>
    <row r="365" spans="24:33" x14ac:dyDescent="0.25">
      <c r="X365" s="86"/>
      <c r="AG365" s="94"/>
    </row>
    <row r="366" spans="24:33" x14ac:dyDescent="0.25">
      <c r="X366" s="86"/>
      <c r="AG366" s="94"/>
    </row>
    <row r="367" spans="24:33" x14ac:dyDescent="0.25">
      <c r="X367" s="86"/>
      <c r="AG367" s="94"/>
    </row>
    <row r="368" spans="24:33" x14ac:dyDescent="0.25">
      <c r="X368" s="86"/>
      <c r="AG368" s="94"/>
    </row>
    <row r="369" spans="24:33" x14ac:dyDescent="0.25">
      <c r="X369" s="86"/>
      <c r="AG369" s="94"/>
    </row>
    <row r="370" spans="24:33" x14ac:dyDescent="0.25">
      <c r="X370" s="86"/>
      <c r="AG370" s="94"/>
    </row>
    <row r="371" spans="24:33" x14ac:dyDescent="0.25">
      <c r="X371" s="86"/>
      <c r="AG371" s="94"/>
    </row>
    <row r="372" spans="24:33" x14ac:dyDescent="0.25">
      <c r="X372" s="86"/>
      <c r="AG372" s="94"/>
    </row>
    <row r="373" spans="24:33" x14ac:dyDescent="0.25">
      <c r="X373" s="86"/>
      <c r="AG373" s="94"/>
    </row>
    <row r="374" spans="24:33" x14ac:dyDescent="0.25">
      <c r="X374" s="86"/>
      <c r="AG374" s="94"/>
    </row>
    <row r="375" spans="24:33" x14ac:dyDescent="0.25">
      <c r="X375" s="86"/>
      <c r="AG375" s="94"/>
    </row>
    <row r="376" spans="24:33" x14ac:dyDescent="0.25">
      <c r="X376" s="86"/>
      <c r="AG376" s="94"/>
    </row>
    <row r="377" spans="24:33" x14ac:dyDescent="0.25">
      <c r="X377" s="86"/>
      <c r="AG377" s="94"/>
    </row>
    <row r="378" spans="24:33" x14ac:dyDescent="0.25">
      <c r="X378" s="86"/>
      <c r="AG378" s="94"/>
    </row>
    <row r="379" spans="24:33" x14ac:dyDescent="0.25">
      <c r="X379" s="86"/>
      <c r="AG379" s="94"/>
    </row>
    <row r="380" spans="24:33" x14ac:dyDescent="0.25">
      <c r="X380" s="86"/>
      <c r="AG380" s="94"/>
    </row>
    <row r="381" spans="24:33" x14ac:dyDescent="0.25">
      <c r="X381" s="86"/>
      <c r="AG381" s="94"/>
    </row>
    <row r="382" spans="24:33" x14ac:dyDescent="0.25">
      <c r="X382" s="86"/>
      <c r="AG382" s="94"/>
    </row>
    <row r="383" spans="24:33" x14ac:dyDescent="0.25">
      <c r="X383" s="86"/>
      <c r="AG383" s="94"/>
    </row>
    <row r="384" spans="24:33" x14ac:dyDescent="0.25">
      <c r="X384" s="86"/>
      <c r="AG384" s="94"/>
    </row>
    <row r="385" spans="24:33" x14ac:dyDescent="0.25">
      <c r="X385" s="86"/>
      <c r="AG385" s="94"/>
    </row>
    <row r="386" spans="24:33" x14ac:dyDescent="0.25">
      <c r="X386" s="86"/>
      <c r="AG386" s="94"/>
    </row>
    <row r="387" spans="24:33" x14ac:dyDescent="0.25">
      <c r="X387" s="86"/>
      <c r="AG387" s="94"/>
    </row>
    <row r="388" spans="24:33" x14ac:dyDescent="0.25">
      <c r="X388" s="86"/>
      <c r="AG388" s="94"/>
    </row>
    <row r="389" spans="24:33" x14ac:dyDescent="0.25">
      <c r="X389" s="86"/>
      <c r="AG389" s="94"/>
    </row>
    <row r="390" spans="24:33" x14ac:dyDescent="0.25">
      <c r="X390" s="86"/>
      <c r="AG390" s="94"/>
    </row>
    <row r="391" spans="24:33" x14ac:dyDescent="0.25">
      <c r="X391" s="86"/>
      <c r="AG391" s="94"/>
    </row>
    <row r="392" spans="24:33" x14ac:dyDescent="0.25">
      <c r="X392" s="86"/>
      <c r="AG392" s="94"/>
    </row>
    <row r="393" spans="24:33" x14ac:dyDescent="0.25">
      <c r="X393" s="86"/>
      <c r="AG393" s="94"/>
    </row>
    <row r="394" spans="24:33" x14ac:dyDescent="0.25">
      <c r="X394" s="86"/>
      <c r="AG394" s="94"/>
    </row>
    <row r="395" spans="24:33" x14ac:dyDescent="0.25">
      <c r="X395" s="86"/>
      <c r="AG395" s="94"/>
    </row>
    <row r="396" spans="24:33" x14ac:dyDescent="0.25">
      <c r="X396" s="86"/>
      <c r="AG396" s="94"/>
    </row>
    <row r="397" spans="24:33" x14ac:dyDescent="0.25">
      <c r="X397" s="86"/>
      <c r="AG397" s="94"/>
    </row>
    <row r="398" spans="24:33" x14ac:dyDescent="0.25">
      <c r="X398" s="86"/>
      <c r="AG398" s="94"/>
    </row>
    <row r="399" spans="24:33" x14ac:dyDescent="0.25">
      <c r="X399" s="86"/>
      <c r="AG399" s="94"/>
    </row>
    <row r="400" spans="24:33" x14ac:dyDescent="0.25">
      <c r="X400" s="86"/>
      <c r="AG400" s="94"/>
    </row>
    <row r="401" spans="24:33" x14ac:dyDescent="0.25">
      <c r="X401" s="86"/>
      <c r="AG401" s="94"/>
    </row>
    <row r="402" spans="24:33" x14ac:dyDescent="0.25">
      <c r="X402" s="86"/>
      <c r="AG402" s="94"/>
    </row>
    <row r="403" spans="24:33" x14ac:dyDescent="0.25">
      <c r="X403" s="86"/>
      <c r="AG403" s="94"/>
    </row>
    <row r="404" spans="24:33" x14ac:dyDescent="0.25">
      <c r="X404" s="86"/>
      <c r="AG404" s="94"/>
    </row>
    <row r="405" spans="24:33" x14ac:dyDescent="0.25">
      <c r="X405" s="86"/>
      <c r="AG405" s="94"/>
    </row>
    <row r="406" spans="24:33" x14ac:dyDescent="0.25">
      <c r="X406" s="86"/>
      <c r="AG406" s="94"/>
    </row>
    <row r="407" spans="24:33" x14ac:dyDescent="0.25">
      <c r="X407" s="86"/>
      <c r="AG407" s="94"/>
    </row>
    <row r="408" spans="24:33" x14ac:dyDescent="0.25">
      <c r="X408" s="86"/>
      <c r="AG408" s="94"/>
    </row>
    <row r="409" spans="24:33" x14ac:dyDescent="0.25">
      <c r="X409" s="86"/>
      <c r="AG409" s="94"/>
    </row>
    <row r="410" spans="24:33" x14ac:dyDescent="0.25">
      <c r="X410" s="86"/>
      <c r="AG410" s="94"/>
    </row>
    <row r="411" spans="24:33" x14ac:dyDescent="0.25">
      <c r="X411" s="86"/>
      <c r="AG411" s="94"/>
    </row>
    <row r="412" spans="24:33" x14ac:dyDescent="0.25">
      <c r="X412" s="86"/>
      <c r="AG412" s="94"/>
    </row>
    <row r="413" spans="24:33" x14ac:dyDescent="0.25">
      <c r="X413" s="86"/>
      <c r="AG413" s="94"/>
    </row>
    <row r="414" spans="24:33" x14ac:dyDescent="0.25">
      <c r="X414" s="86"/>
      <c r="AG414" s="94"/>
    </row>
    <row r="415" spans="24:33" x14ac:dyDescent="0.25">
      <c r="X415" s="86"/>
      <c r="AG415" s="94"/>
    </row>
    <row r="416" spans="24:33" x14ac:dyDescent="0.25">
      <c r="X416" s="86"/>
      <c r="AG416" s="94"/>
    </row>
    <row r="417" spans="24:33" x14ac:dyDescent="0.25">
      <c r="X417" s="86"/>
      <c r="AG417" s="94"/>
    </row>
    <row r="418" spans="24:33" x14ac:dyDescent="0.25">
      <c r="X418" s="86"/>
      <c r="AG418" s="94"/>
    </row>
    <row r="419" spans="24:33" x14ac:dyDescent="0.25">
      <c r="X419" s="86"/>
      <c r="AG419" s="94"/>
    </row>
    <row r="420" spans="24:33" x14ac:dyDescent="0.25">
      <c r="X420" s="86"/>
      <c r="AG420" s="94"/>
    </row>
    <row r="421" spans="24:33" x14ac:dyDescent="0.25">
      <c r="X421" s="86"/>
      <c r="AG421" s="94"/>
    </row>
    <row r="422" spans="24:33" x14ac:dyDescent="0.25">
      <c r="X422" s="86"/>
      <c r="AG422" s="94"/>
    </row>
    <row r="423" spans="24:33" x14ac:dyDescent="0.25">
      <c r="X423" s="86"/>
      <c r="AG423" s="94"/>
    </row>
    <row r="424" spans="24:33" x14ac:dyDescent="0.25">
      <c r="X424" s="86"/>
      <c r="AG424" s="94"/>
    </row>
    <row r="425" spans="24:33" x14ac:dyDescent="0.25">
      <c r="X425" s="86"/>
      <c r="AG425" s="94"/>
    </row>
    <row r="426" spans="24:33" x14ac:dyDescent="0.25">
      <c r="X426" s="86"/>
      <c r="AG426" s="94"/>
    </row>
    <row r="427" spans="24:33" x14ac:dyDescent="0.25">
      <c r="X427" s="86"/>
      <c r="AG427" s="94"/>
    </row>
    <row r="428" spans="24:33" x14ac:dyDescent="0.25">
      <c r="X428" s="86"/>
      <c r="AG428" s="94"/>
    </row>
    <row r="429" spans="24:33" x14ac:dyDescent="0.25">
      <c r="X429" s="86"/>
      <c r="AG429" s="94"/>
    </row>
    <row r="430" spans="24:33" x14ac:dyDescent="0.25">
      <c r="X430" s="86"/>
      <c r="AG430" s="94"/>
    </row>
    <row r="431" spans="24:33" x14ac:dyDescent="0.25">
      <c r="X431" s="86"/>
      <c r="AG431" s="94"/>
    </row>
    <row r="432" spans="24:33" x14ac:dyDescent="0.25">
      <c r="X432" s="86"/>
      <c r="AG432" s="94"/>
    </row>
    <row r="433" spans="24:33" x14ac:dyDescent="0.25">
      <c r="X433" s="86"/>
      <c r="AG433" s="94"/>
    </row>
    <row r="434" spans="24:33" x14ac:dyDescent="0.25">
      <c r="X434" s="86"/>
      <c r="AG434" s="94"/>
    </row>
    <row r="435" spans="24:33" x14ac:dyDescent="0.25">
      <c r="X435" s="86"/>
      <c r="AG435" s="94"/>
    </row>
    <row r="436" spans="24:33" x14ac:dyDescent="0.25">
      <c r="X436" s="86"/>
      <c r="AG436" s="94"/>
    </row>
    <row r="437" spans="24:33" x14ac:dyDescent="0.25">
      <c r="X437" s="86"/>
      <c r="AG437" s="94"/>
    </row>
    <row r="438" spans="24:33" x14ac:dyDescent="0.25">
      <c r="X438" s="86"/>
      <c r="AG438" s="94"/>
    </row>
    <row r="439" spans="24:33" x14ac:dyDescent="0.25">
      <c r="X439" s="86"/>
      <c r="AG439" s="94"/>
    </row>
    <row r="440" spans="24:33" x14ac:dyDescent="0.25">
      <c r="X440" s="86"/>
      <c r="AG440" s="94"/>
    </row>
    <row r="441" spans="24:33" x14ac:dyDescent="0.25">
      <c r="X441" s="86"/>
      <c r="AG441" s="94"/>
    </row>
    <row r="442" spans="24:33" x14ac:dyDescent="0.25">
      <c r="X442" s="86"/>
      <c r="AG442" s="94"/>
    </row>
    <row r="443" spans="24:33" x14ac:dyDescent="0.25">
      <c r="X443" s="86"/>
      <c r="AG443" s="94"/>
    </row>
    <row r="444" spans="24:33" x14ac:dyDescent="0.25">
      <c r="X444" s="86"/>
      <c r="AG444" s="94"/>
    </row>
    <row r="445" spans="24:33" x14ac:dyDescent="0.25">
      <c r="X445" s="86"/>
      <c r="AG445" s="94"/>
    </row>
    <row r="446" spans="24:33" x14ac:dyDescent="0.25">
      <c r="X446" s="86"/>
      <c r="AG446" s="94"/>
    </row>
    <row r="447" spans="24:33" x14ac:dyDescent="0.25">
      <c r="X447" s="86"/>
      <c r="AG447" s="94"/>
    </row>
    <row r="448" spans="24:33" x14ac:dyDescent="0.25">
      <c r="X448" s="86"/>
      <c r="AG448" s="94"/>
    </row>
    <row r="449" spans="24:33" x14ac:dyDescent="0.25">
      <c r="X449" s="86"/>
      <c r="AG449" s="94"/>
    </row>
    <row r="450" spans="24:33" x14ac:dyDescent="0.25">
      <c r="X450" s="86"/>
      <c r="AG450" s="94"/>
    </row>
    <row r="451" spans="24:33" x14ac:dyDescent="0.25">
      <c r="X451" s="86"/>
      <c r="AG451" s="94"/>
    </row>
    <row r="452" spans="24:33" x14ac:dyDescent="0.25">
      <c r="X452" s="86"/>
      <c r="AG452" s="94"/>
    </row>
    <row r="453" spans="24:33" x14ac:dyDescent="0.25">
      <c r="X453" s="86"/>
      <c r="AG453" s="94"/>
    </row>
    <row r="454" spans="24:33" x14ac:dyDescent="0.25">
      <c r="X454" s="86"/>
      <c r="AG454" s="94"/>
    </row>
    <row r="455" spans="24:33" x14ac:dyDescent="0.25">
      <c r="X455" s="86"/>
      <c r="AG455" s="94"/>
    </row>
    <row r="456" spans="24:33" x14ac:dyDescent="0.25">
      <c r="X456" s="86"/>
      <c r="AG456" s="94"/>
    </row>
    <row r="457" spans="24:33" x14ac:dyDescent="0.25">
      <c r="X457" s="86"/>
      <c r="AG457" s="94"/>
    </row>
    <row r="458" spans="24:33" x14ac:dyDescent="0.25">
      <c r="X458" s="86"/>
      <c r="AG458" s="94"/>
    </row>
    <row r="459" spans="24:33" x14ac:dyDescent="0.25">
      <c r="X459" s="86"/>
      <c r="AG459" s="94"/>
    </row>
    <row r="460" spans="24:33" x14ac:dyDescent="0.25">
      <c r="X460" s="86"/>
      <c r="AG460" s="94"/>
    </row>
    <row r="461" spans="24:33" x14ac:dyDescent="0.25">
      <c r="X461" s="86"/>
      <c r="AG461" s="94"/>
    </row>
    <row r="462" spans="24:33" x14ac:dyDescent="0.25">
      <c r="X462" s="86"/>
      <c r="AG462" s="94"/>
    </row>
    <row r="463" spans="24:33" x14ac:dyDescent="0.25">
      <c r="X463" s="86"/>
      <c r="AG463" s="94"/>
    </row>
    <row r="464" spans="24:33" x14ac:dyDescent="0.25">
      <c r="X464" s="86"/>
      <c r="AG464" s="94"/>
    </row>
    <row r="465" spans="24:33" x14ac:dyDescent="0.25">
      <c r="X465" s="86"/>
      <c r="AG465" s="94"/>
    </row>
    <row r="466" spans="24:33" x14ac:dyDescent="0.25">
      <c r="X466" s="86"/>
      <c r="AG466" s="94"/>
    </row>
    <row r="467" spans="24:33" x14ac:dyDescent="0.25">
      <c r="X467" s="86"/>
      <c r="AG467" s="94"/>
    </row>
    <row r="468" spans="24:33" x14ac:dyDescent="0.25">
      <c r="X468" s="86"/>
      <c r="AG468" s="94"/>
    </row>
    <row r="469" spans="24:33" x14ac:dyDescent="0.25">
      <c r="X469" s="86"/>
      <c r="AG469" s="94"/>
    </row>
    <row r="470" spans="24:33" x14ac:dyDescent="0.25">
      <c r="X470" s="86"/>
      <c r="AG470" s="94"/>
    </row>
    <row r="471" spans="24:33" x14ac:dyDescent="0.25">
      <c r="X471" s="86"/>
      <c r="AG471" s="94"/>
    </row>
    <row r="472" spans="24:33" x14ac:dyDescent="0.25">
      <c r="X472" s="86"/>
      <c r="AG472" s="94"/>
    </row>
    <row r="473" spans="24:33" x14ac:dyDescent="0.25">
      <c r="X473" s="86"/>
      <c r="AG473" s="94"/>
    </row>
    <row r="474" spans="24:33" x14ac:dyDescent="0.25">
      <c r="X474" s="86"/>
      <c r="AG474" s="94"/>
    </row>
    <row r="475" spans="24:33" x14ac:dyDescent="0.25">
      <c r="X475" s="86"/>
      <c r="AG475" s="94"/>
    </row>
    <row r="476" spans="24:33" x14ac:dyDescent="0.25">
      <c r="X476" s="86"/>
      <c r="AG476" s="94"/>
    </row>
    <row r="477" spans="24:33" x14ac:dyDescent="0.25">
      <c r="X477" s="86"/>
      <c r="AG477" s="94"/>
    </row>
    <row r="478" spans="24:33" x14ac:dyDescent="0.25">
      <c r="X478" s="86"/>
      <c r="AG478" s="94"/>
    </row>
    <row r="479" spans="24:33" x14ac:dyDescent="0.25">
      <c r="X479" s="86"/>
      <c r="AG479" s="94"/>
    </row>
    <row r="480" spans="24:33" x14ac:dyDescent="0.25">
      <c r="X480" s="86"/>
      <c r="AG480" s="94"/>
    </row>
    <row r="481" spans="24:33" x14ac:dyDescent="0.25">
      <c r="X481" s="86"/>
      <c r="AG481" s="94"/>
    </row>
    <row r="482" spans="24:33" x14ac:dyDescent="0.25">
      <c r="X482" s="86"/>
      <c r="AG482" s="94"/>
    </row>
    <row r="483" spans="24:33" x14ac:dyDescent="0.25">
      <c r="X483" s="86"/>
      <c r="AG483" s="94"/>
    </row>
    <row r="484" spans="24:33" x14ac:dyDescent="0.25">
      <c r="X484" s="86"/>
      <c r="AG484" s="94"/>
    </row>
    <row r="485" spans="24:33" x14ac:dyDescent="0.25">
      <c r="X485" s="86"/>
      <c r="AG485" s="94"/>
    </row>
    <row r="486" spans="24:33" x14ac:dyDescent="0.25">
      <c r="X486" s="86"/>
      <c r="AG486" s="94"/>
    </row>
    <row r="487" spans="24:33" x14ac:dyDescent="0.25">
      <c r="X487" s="86"/>
      <c r="AG487" s="94"/>
    </row>
    <row r="488" spans="24:33" x14ac:dyDescent="0.25">
      <c r="X488" s="86"/>
      <c r="AG488" s="94"/>
    </row>
    <row r="489" spans="24:33" x14ac:dyDescent="0.25">
      <c r="X489" s="86"/>
      <c r="AG489" s="94"/>
    </row>
    <row r="490" spans="24:33" x14ac:dyDescent="0.25">
      <c r="X490" s="86"/>
      <c r="AG490" s="94"/>
    </row>
    <row r="491" spans="24:33" x14ac:dyDescent="0.25">
      <c r="X491" s="86"/>
      <c r="AG491" s="94"/>
    </row>
    <row r="492" spans="24:33" x14ac:dyDescent="0.25">
      <c r="X492" s="86"/>
      <c r="AG492" s="94"/>
    </row>
    <row r="493" spans="24:33" x14ac:dyDescent="0.25">
      <c r="X493" s="86"/>
      <c r="AG493" s="94"/>
    </row>
    <row r="494" spans="24:33" x14ac:dyDescent="0.25">
      <c r="X494" s="86"/>
      <c r="AG494" s="94"/>
    </row>
    <row r="495" spans="24:33" x14ac:dyDescent="0.25">
      <c r="X495" s="86"/>
      <c r="AG495" s="94"/>
    </row>
    <row r="496" spans="24:33" x14ac:dyDescent="0.25">
      <c r="X496" s="86"/>
      <c r="AG496" s="94"/>
    </row>
    <row r="497" spans="24:33" x14ac:dyDescent="0.25">
      <c r="X497" s="86"/>
      <c r="AG497" s="94"/>
    </row>
    <row r="498" spans="24:33" x14ac:dyDescent="0.25">
      <c r="X498" s="86"/>
      <c r="AG498" s="94"/>
    </row>
    <row r="499" spans="24:33" x14ac:dyDescent="0.25">
      <c r="X499" s="86"/>
      <c r="AG499" s="94"/>
    </row>
    <row r="500" spans="24:33" x14ac:dyDescent="0.25">
      <c r="X500" s="86"/>
      <c r="AG500" s="94"/>
    </row>
    <row r="501" spans="24:33" x14ac:dyDescent="0.25">
      <c r="X501" s="86"/>
      <c r="AG501" s="94"/>
    </row>
    <row r="502" spans="24:33" x14ac:dyDescent="0.25">
      <c r="X502" s="86"/>
      <c r="AG502" s="94"/>
    </row>
    <row r="503" spans="24:33" x14ac:dyDescent="0.25">
      <c r="X503" s="86"/>
      <c r="AG503" s="94"/>
    </row>
    <row r="504" spans="24:33" x14ac:dyDescent="0.25">
      <c r="X504" s="86"/>
      <c r="AG504" s="94"/>
    </row>
    <row r="505" spans="24:33" x14ac:dyDescent="0.25">
      <c r="X505" s="86"/>
      <c r="AG505" s="94"/>
    </row>
    <row r="506" spans="24:33" x14ac:dyDescent="0.25">
      <c r="X506" s="86"/>
      <c r="AG506" s="94"/>
    </row>
    <row r="507" spans="24:33" x14ac:dyDescent="0.25">
      <c r="X507" s="86"/>
      <c r="AG507" s="94"/>
    </row>
    <row r="508" spans="24:33" x14ac:dyDescent="0.25">
      <c r="X508" s="86"/>
      <c r="AG508" s="94"/>
    </row>
    <row r="509" spans="24:33" x14ac:dyDescent="0.25">
      <c r="X509" s="86"/>
      <c r="AG509" s="94"/>
    </row>
    <row r="510" spans="24:33" x14ac:dyDescent="0.25">
      <c r="X510" s="86"/>
      <c r="AG510" s="94"/>
    </row>
    <row r="511" spans="24:33" x14ac:dyDescent="0.25">
      <c r="X511" s="86"/>
      <c r="AG511" s="94"/>
    </row>
    <row r="512" spans="24:33" x14ac:dyDescent="0.25">
      <c r="X512" s="86"/>
      <c r="AG512" s="94"/>
    </row>
    <row r="513" spans="24:33" x14ac:dyDescent="0.25">
      <c r="X513" s="86"/>
      <c r="AG513" s="94"/>
    </row>
    <row r="514" spans="24:33" x14ac:dyDescent="0.25">
      <c r="X514" s="86"/>
      <c r="AG514" s="94"/>
    </row>
    <row r="515" spans="24:33" x14ac:dyDescent="0.25">
      <c r="X515" s="86"/>
      <c r="AG515" s="94"/>
    </row>
    <row r="516" spans="24:33" x14ac:dyDescent="0.25">
      <c r="X516" s="86"/>
      <c r="AG516" s="94"/>
    </row>
    <row r="517" spans="24:33" x14ac:dyDescent="0.25">
      <c r="X517" s="86"/>
      <c r="AG517" s="94"/>
    </row>
    <row r="518" spans="24:33" x14ac:dyDescent="0.25">
      <c r="X518" s="86"/>
      <c r="AG518" s="94"/>
    </row>
    <row r="519" spans="24:33" x14ac:dyDescent="0.25">
      <c r="X519" s="86"/>
      <c r="AG519" s="94"/>
    </row>
    <row r="520" spans="24:33" x14ac:dyDescent="0.25">
      <c r="X520" s="86"/>
      <c r="AG520" s="94"/>
    </row>
    <row r="521" spans="24:33" x14ac:dyDescent="0.25">
      <c r="X521" s="86"/>
      <c r="AG521" s="94"/>
    </row>
    <row r="522" spans="24:33" x14ac:dyDescent="0.25">
      <c r="X522" s="86"/>
      <c r="AG522" s="94"/>
    </row>
    <row r="523" spans="24:33" x14ac:dyDescent="0.25">
      <c r="X523" s="86"/>
      <c r="AG523" s="94"/>
    </row>
    <row r="524" spans="24:33" x14ac:dyDescent="0.25">
      <c r="X524" s="86"/>
      <c r="AG524" s="94"/>
    </row>
    <row r="525" spans="24:33" x14ac:dyDescent="0.25">
      <c r="X525" s="86"/>
      <c r="AG525" s="94"/>
    </row>
    <row r="526" spans="24:33" x14ac:dyDescent="0.25">
      <c r="X526" s="86"/>
      <c r="AG526" s="94"/>
    </row>
    <row r="527" spans="24:33" x14ac:dyDescent="0.25">
      <c r="X527" s="86"/>
      <c r="AG527" s="94"/>
    </row>
    <row r="528" spans="24:33" x14ac:dyDescent="0.25">
      <c r="X528" s="86"/>
      <c r="AG528" s="94"/>
    </row>
    <row r="529" spans="24:33" x14ac:dyDescent="0.25">
      <c r="X529" s="86"/>
      <c r="AG529" s="94"/>
    </row>
    <row r="530" spans="24:33" x14ac:dyDescent="0.25">
      <c r="X530" s="86"/>
      <c r="AG530" s="94"/>
    </row>
    <row r="531" spans="24:33" x14ac:dyDescent="0.25">
      <c r="X531" s="86"/>
      <c r="AG531" s="94"/>
    </row>
    <row r="532" spans="24:33" x14ac:dyDescent="0.25">
      <c r="X532" s="86"/>
      <c r="AG532" s="94"/>
    </row>
    <row r="533" spans="24:33" x14ac:dyDescent="0.25">
      <c r="X533" s="86"/>
      <c r="AG533" s="94"/>
    </row>
    <row r="534" spans="24:33" x14ac:dyDescent="0.25">
      <c r="X534" s="86"/>
      <c r="AG534" s="94"/>
    </row>
    <row r="535" spans="24:33" x14ac:dyDescent="0.25">
      <c r="X535" s="86"/>
      <c r="AG535" s="94"/>
    </row>
    <row r="536" spans="24:33" x14ac:dyDescent="0.25">
      <c r="X536" s="86"/>
      <c r="AG536" s="94"/>
    </row>
    <row r="537" spans="24:33" x14ac:dyDescent="0.25">
      <c r="X537" s="86"/>
      <c r="AG537" s="94"/>
    </row>
    <row r="538" spans="24:33" x14ac:dyDescent="0.25">
      <c r="X538" s="86"/>
      <c r="AG538" s="94"/>
    </row>
    <row r="539" spans="24:33" x14ac:dyDescent="0.25">
      <c r="X539" s="86"/>
      <c r="AG539" s="94"/>
    </row>
    <row r="540" spans="24:33" x14ac:dyDescent="0.25">
      <c r="X540" s="86"/>
      <c r="AG540" s="94"/>
    </row>
    <row r="541" spans="24:33" x14ac:dyDescent="0.25">
      <c r="X541" s="86"/>
      <c r="AG541" s="94"/>
    </row>
    <row r="542" spans="24:33" x14ac:dyDescent="0.25">
      <c r="X542" s="86"/>
      <c r="AG542" s="94"/>
    </row>
    <row r="543" spans="24:33" x14ac:dyDescent="0.25">
      <c r="X543" s="86"/>
      <c r="AG543" s="94"/>
    </row>
    <row r="544" spans="24:33" x14ac:dyDescent="0.25">
      <c r="X544" s="86"/>
      <c r="AG544" s="94"/>
    </row>
    <row r="545" spans="24:33" x14ac:dyDescent="0.25">
      <c r="X545" s="86"/>
      <c r="AG545" s="94"/>
    </row>
    <row r="546" spans="24:33" x14ac:dyDescent="0.25">
      <c r="X546" s="86"/>
      <c r="AG546" s="94"/>
    </row>
    <row r="547" spans="24:33" x14ac:dyDescent="0.25">
      <c r="X547" s="86"/>
      <c r="AG547" s="94"/>
    </row>
    <row r="548" spans="24:33" x14ac:dyDescent="0.25">
      <c r="X548" s="86"/>
      <c r="AG548" s="94"/>
    </row>
    <row r="549" spans="24:33" x14ac:dyDescent="0.25">
      <c r="X549" s="86"/>
      <c r="AG549" s="94"/>
    </row>
    <row r="550" spans="24:33" x14ac:dyDescent="0.25">
      <c r="X550" s="86"/>
      <c r="AG550" s="94"/>
    </row>
    <row r="551" spans="24:33" x14ac:dyDescent="0.25">
      <c r="X551" s="86"/>
      <c r="AG551" s="94"/>
    </row>
    <row r="552" spans="24:33" x14ac:dyDescent="0.25">
      <c r="X552" s="86"/>
      <c r="AG552" s="94"/>
    </row>
    <row r="553" spans="24:33" x14ac:dyDescent="0.25">
      <c r="X553" s="86"/>
      <c r="AG553" s="94"/>
    </row>
    <row r="554" spans="24:33" x14ac:dyDescent="0.25">
      <c r="X554" s="86"/>
      <c r="AG554" s="94"/>
    </row>
    <row r="555" spans="24:33" x14ac:dyDescent="0.25">
      <c r="X555" s="86"/>
      <c r="AG555" s="94"/>
    </row>
    <row r="556" spans="24:33" x14ac:dyDescent="0.25">
      <c r="X556" s="86"/>
      <c r="AG556" s="94"/>
    </row>
    <row r="557" spans="24:33" x14ac:dyDescent="0.25">
      <c r="X557" s="86"/>
      <c r="AG557" s="94"/>
    </row>
    <row r="558" spans="24:33" x14ac:dyDescent="0.25">
      <c r="X558" s="86"/>
      <c r="AG558" s="94"/>
    </row>
    <row r="559" spans="24:33" x14ac:dyDescent="0.25">
      <c r="X559" s="86"/>
      <c r="AG559" s="94"/>
    </row>
    <row r="560" spans="24:33" x14ac:dyDescent="0.25">
      <c r="X560" s="86"/>
      <c r="AG560" s="94"/>
    </row>
    <row r="561" spans="24:33" x14ac:dyDescent="0.25">
      <c r="X561" s="86"/>
      <c r="AG561" s="94"/>
    </row>
    <row r="562" spans="24:33" x14ac:dyDescent="0.25">
      <c r="X562" s="86"/>
      <c r="AG562" s="94"/>
    </row>
    <row r="563" spans="24:33" x14ac:dyDescent="0.25">
      <c r="X563" s="86"/>
      <c r="AG563" s="94"/>
    </row>
    <row r="564" spans="24:33" x14ac:dyDescent="0.25">
      <c r="X564" s="86"/>
      <c r="AG564" s="94"/>
    </row>
    <row r="565" spans="24:33" x14ac:dyDescent="0.25">
      <c r="X565" s="86"/>
      <c r="AG565" s="94"/>
    </row>
    <row r="566" spans="24:33" x14ac:dyDescent="0.25">
      <c r="X566" s="86"/>
      <c r="AG566" s="94"/>
    </row>
    <row r="567" spans="24:33" x14ac:dyDescent="0.25">
      <c r="X567" s="86"/>
      <c r="AG567" s="94"/>
    </row>
    <row r="568" spans="24:33" x14ac:dyDescent="0.25">
      <c r="X568" s="86"/>
      <c r="AG568" s="94"/>
    </row>
    <row r="569" spans="24:33" x14ac:dyDescent="0.25">
      <c r="X569" s="86"/>
      <c r="AG569" s="94"/>
    </row>
    <row r="570" spans="24:33" x14ac:dyDescent="0.25">
      <c r="X570" s="86"/>
      <c r="AG570" s="94"/>
    </row>
    <row r="571" spans="24:33" x14ac:dyDescent="0.25">
      <c r="X571" s="86"/>
      <c r="AG571" s="94"/>
    </row>
    <row r="572" spans="24:33" x14ac:dyDescent="0.25">
      <c r="X572" s="86"/>
      <c r="AG572" s="94"/>
    </row>
    <row r="573" spans="24:33" x14ac:dyDescent="0.25">
      <c r="X573" s="86"/>
      <c r="AG573" s="94"/>
    </row>
    <row r="574" spans="24:33" x14ac:dyDescent="0.25">
      <c r="X574" s="86"/>
      <c r="AG574" s="94"/>
    </row>
    <row r="575" spans="24:33" x14ac:dyDescent="0.25">
      <c r="X575" s="86"/>
      <c r="AG575" s="94"/>
    </row>
    <row r="576" spans="24:33" x14ac:dyDescent="0.25">
      <c r="X576" s="86"/>
      <c r="AG576" s="94"/>
    </row>
    <row r="577" spans="24:33" x14ac:dyDescent="0.25">
      <c r="X577" s="86"/>
      <c r="AG577" s="94"/>
    </row>
    <row r="578" spans="24:33" x14ac:dyDescent="0.25">
      <c r="X578" s="86"/>
      <c r="AG578" s="94"/>
    </row>
    <row r="579" spans="24:33" x14ac:dyDescent="0.25">
      <c r="X579" s="86"/>
      <c r="AG579" s="94"/>
    </row>
    <row r="580" spans="24:33" x14ac:dyDescent="0.25">
      <c r="X580" s="86"/>
      <c r="AG580" s="94"/>
    </row>
    <row r="581" spans="24:33" x14ac:dyDescent="0.25">
      <c r="X581" s="86"/>
      <c r="AG581" s="94"/>
    </row>
    <row r="582" spans="24:33" x14ac:dyDescent="0.25">
      <c r="X582" s="86"/>
      <c r="AG582" s="94"/>
    </row>
    <row r="583" spans="24:33" x14ac:dyDescent="0.25">
      <c r="X583" s="86"/>
      <c r="AG583" s="94"/>
    </row>
    <row r="584" spans="24:33" x14ac:dyDescent="0.25">
      <c r="X584" s="86"/>
      <c r="AG584" s="94"/>
    </row>
    <row r="585" spans="24:33" x14ac:dyDescent="0.25">
      <c r="X585" s="86"/>
      <c r="AG585" s="94"/>
    </row>
    <row r="586" spans="24:33" x14ac:dyDescent="0.25">
      <c r="X586" s="86"/>
      <c r="AG586" s="94"/>
    </row>
    <row r="587" spans="24:33" x14ac:dyDescent="0.25">
      <c r="X587" s="86"/>
      <c r="AG587" s="94"/>
    </row>
    <row r="588" spans="24:33" x14ac:dyDescent="0.25">
      <c r="X588" s="86"/>
      <c r="AG588" s="94"/>
    </row>
    <row r="589" spans="24:33" x14ac:dyDescent="0.25">
      <c r="X589" s="86"/>
      <c r="AG589" s="94"/>
    </row>
    <row r="590" spans="24:33" x14ac:dyDescent="0.25">
      <c r="X590" s="86"/>
      <c r="AG590" s="94"/>
    </row>
    <row r="591" spans="24:33" x14ac:dyDescent="0.25">
      <c r="X591" s="86"/>
      <c r="AG591" s="94"/>
    </row>
    <row r="592" spans="24:33" x14ac:dyDescent="0.25">
      <c r="X592" s="86"/>
      <c r="AG592" s="94"/>
    </row>
    <row r="593" spans="24:33" x14ac:dyDescent="0.25">
      <c r="X593" s="86"/>
      <c r="AG593" s="94"/>
    </row>
    <row r="594" spans="24:33" x14ac:dyDescent="0.25">
      <c r="X594" s="86"/>
      <c r="AG594" s="94"/>
    </row>
    <row r="595" spans="24:33" x14ac:dyDescent="0.25">
      <c r="X595" s="86"/>
      <c r="AG595" s="94"/>
    </row>
    <row r="596" spans="24:33" x14ac:dyDescent="0.25">
      <c r="X596" s="86"/>
      <c r="AG596" s="94"/>
    </row>
    <row r="597" spans="24:33" x14ac:dyDescent="0.25">
      <c r="X597" s="86"/>
      <c r="AG597" s="94"/>
    </row>
    <row r="598" spans="24:33" x14ac:dyDescent="0.25">
      <c r="X598" s="86"/>
      <c r="AG598" s="94"/>
    </row>
    <row r="599" spans="24:33" x14ac:dyDescent="0.25">
      <c r="X599" s="86"/>
      <c r="AG599" s="94"/>
    </row>
    <row r="600" spans="24:33" x14ac:dyDescent="0.25">
      <c r="X600" s="86"/>
      <c r="AG600" s="94"/>
    </row>
    <row r="601" spans="24:33" x14ac:dyDescent="0.25">
      <c r="X601" s="86"/>
      <c r="AG601" s="94"/>
    </row>
    <row r="602" spans="24:33" x14ac:dyDescent="0.25">
      <c r="X602" s="86"/>
      <c r="AG602" s="94"/>
    </row>
    <row r="603" spans="24:33" x14ac:dyDescent="0.25">
      <c r="X603" s="86"/>
      <c r="AG603" s="94"/>
    </row>
    <row r="604" spans="24:33" x14ac:dyDescent="0.25">
      <c r="X604" s="86"/>
      <c r="AG604" s="94"/>
    </row>
    <row r="605" spans="24:33" x14ac:dyDescent="0.25">
      <c r="X605" s="86"/>
      <c r="AG605" s="94"/>
    </row>
    <row r="606" spans="24:33" x14ac:dyDescent="0.25">
      <c r="X606" s="86"/>
      <c r="AG606" s="94"/>
    </row>
    <row r="607" spans="24:33" x14ac:dyDescent="0.25">
      <c r="X607" s="86"/>
      <c r="AG607" s="94"/>
    </row>
    <row r="608" spans="24:33" x14ac:dyDescent="0.25">
      <c r="X608" s="86"/>
      <c r="AG608" s="94"/>
    </row>
    <row r="609" spans="24:33" x14ac:dyDescent="0.25">
      <c r="X609" s="86"/>
      <c r="AG609" s="94"/>
    </row>
    <row r="610" spans="24:33" x14ac:dyDescent="0.25">
      <c r="X610" s="86"/>
      <c r="AG610" s="94"/>
    </row>
    <row r="611" spans="24:33" x14ac:dyDescent="0.25">
      <c r="X611" s="86"/>
      <c r="AG611" s="94"/>
    </row>
    <row r="612" spans="24:33" x14ac:dyDescent="0.25">
      <c r="X612" s="86"/>
      <c r="AG612" s="94"/>
    </row>
    <row r="613" spans="24:33" x14ac:dyDescent="0.25">
      <c r="X613" s="86"/>
      <c r="AG613" s="94"/>
    </row>
    <row r="614" spans="24:33" x14ac:dyDescent="0.25">
      <c r="X614" s="86"/>
      <c r="AG614" s="94"/>
    </row>
    <row r="615" spans="24:33" x14ac:dyDescent="0.25">
      <c r="X615" s="86"/>
      <c r="AG615" s="94"/>
    </row>
    <row r="616" spans="24:33" x14ac:dyDescent="0.25">
      <c r="X616" s="86"/>
      <c r="AG616" s="94"/>
    </row>
    <row r="617" spans="24:33" x14ac:dyDescent="0.25">
      <c r="X617" s="86"/>
      <c r="AG617" s="94"/>
    </row>
    <row r="618" spans="24:33" x14ac:dyDescent="0.25">
      <c r="X618" s="86"/>
      <c r="AG618" s="94"/>
    </row>
    <row r="619" spans="24:33" x14ac:dyDescent="0.25">
      <c r="X619" s="86"/>
      <c r="AG619" s="94"/>
    </row>
    <row r="620" spans="24:33" x14ac:dyDescent="0.25">
      <c r="X620" s="86"/>
      <c r="AG620" s="94"/>
    </row>
    <row r="621" spans="24:33" x14ac:dyDescent="0.25">
      <c r="X621" s="86"/>
      <c r="AG621" s="94"/>
    </row>
    <row r="622" spans="24:33" x14ac:dyDescent="0.25">
      <c r="X622" s="86"/>
      <c r="AG622" s="94"/>
    </row>
    <row r="623" spans="24:33" x14ac:dyDescent="0.25">
      <c r="X623" s="86"/>
      <c r="AG623" s="94"/>
    </row>
    <row r="624" spans="24:33" x14ac:dyDescent="0.25">
      <c r="X624" s="86"/>
      <c r="AG624" s="94"/>
    </row>
    <row r="625" spans="24:33" x14ac:dyDescent="0.25">
      <c r="X625" s="86"/>
      <c r="AG625" s="94"/>
    </row>
    <row r="626" spans="24:33" x14ac:dyDescent="0.25">
      <c r="X626" s="86"/>
      <c r="AG626" s="94"/>
    </row>
    <row r="627" spans="24:33" x14ac:dyDescent="0.25">
      <c r="X627" s="86"/>
      <c r="AG627" s="94"/>
    </row>
    <row r="628" spans="24:33" x14ac:dyDescent="0.25">
      <c r="X628" s="86"/>
      <c r="AG628" s="94"/>
    </row>
    <row r="629" spans="24:33" x14ac:dyDescent="0.25">
      <c r="X629" s="86"/>
      <c r="AG629" s="94"/>
    </row>
    <row r="630" spans="24:33" x14ac:dyDescent="0.25">
      <c r="X630" s="86"/>
      <c r="AG630" s="94"/>
    </row>
    <row r="631" spans="24:33" x14ac:dyDescent="0.25">
      <c r="X631" s="86"/>
      <c r="AG631" s="94"/>
    </row>
    <row r="632" spans="24:33" x14ac:dyDescent="0.25">
      <c r="X632" s="86"/>
      <c r="AG632" s="94"/>
    </row>
    <row r="633" spans="24:33" x14ac:dyDescent="0.25">
      <c r="X633" s="86"/>
      <c r="AG633" s="94"/>
    </row>
    <row r="634" spans="24:33" x14ac:dyDescent="0.25">
      <c r="X634" s="86"/>
      <c r="AG634" s="94"/>
    </row>
    <row r="635" spans="24:33" x14ac:dyDescent="0.25">
      <c r="X635" s="86"/>
      <c r="AG635" s="94"/>
    </row>
    <row r="636" spans="24:33" x14ac:dyDescent="0.25">
      <c r="X636" s="86"/>
      <c r="AG636" s="94"/>
    </row>
    <row r="637" spans="24:33" x14ac:dyDescent="0.25">
      <c r="X637" s="86"/>
      <c r="AG637" s="94"/>
    </row>
    <row r="638" spans="24:33" x14ac:dyDescent="0.25">
      <c r="X638" s="86"/>
      <c r="AG638" s="94"/>
    </row>
    <row r="639" spans="24:33" x14ac:dyDescent="0.25">
      <c r="X639" s="86"/>
      <c r="AG639" s="94"/>
    </row>
    <row r="640" spans="24:33" x14ac:dyDescent="0.25">
      <c r="X640" s="86"/>
      <c r="AG640" s="94"/>
    </row>
    <row r="641" spans="24:33" x14ac:dyDescent="0.25">
      <c r="X641" s="86"/>
      <c r="AG641" s="94"/>
    </row>
    <row r="642" spans="24:33" x14ac:dyDescent="0.25">
      <c r="X642" s="86"/>
      <c r="AG642" s="94"/>
    </row>
    <row r="643" spans="24:33" x14ac:dyDescent="0.25">
      <c r="X643" s="86"/>
      <c r="AG643" s="94"/>
    </row>
    <row r="644" spans="24:33" x14ac:dyDescent="0.25">
      <c r="X644" s="86"/>
      <c r="AG644" s="94"/>
    </row>
    <row r="645" spans="24:33" x14ac:dyDescent="0.25">
      <c r="X645" s="86"/>
      <c r="AG645" s="94"/>
    </row>
    <row r="646" spans="24:33" x14ac:dyDescent="0.25">
      <c r="X646" s="86"/>
      <c r="AG646" s="94"/>
    </row>
    <row r="647" spans="24:33" x14ac:dyDescent="0.25">
      <c r="X647" s="86"/>
      <c r="AG647" s="94"/>
    </row>
    <row r="648" spans="24:33" x14ac:dyDescent="0.25">
      <c r="X648" s="86"/>
      <c r="AG648" s="94"/>
    </row>
    <row r="649" spans="24:33" x14ac:dyDescent="0.25">
      <c r="X649" s="86"/>
      <c r="AG649" s="94"/>
    </row>
    <row r="650" spans="24:33" x14ac:dyDescent="0.25">
      <c r="X650" s="86"/>
      <c r="AG650" s="94"/>
    </row>
    <row r="651" spans="24:33" x14ac:dyDescent="0.25">
      <c r="X651" s="86"/>
      <c r="AG651" s="94"/>
    </row>
    <row r="652" spans="24:33" x14ac:dyDescent="0.25">
      <c r="X652" s="86"/>
      <c r="AG652" s="94"/>
    </row>
    <row r="653" spans="24:33" x14ac:dyDescent="0.25">
      <c r="X653" s="86"/>
      <c r="AG653" s="94"/>
    </row>
    <row r="654" spans="24:33" x14ac:dyDescent="0.25">
      <c r="X654" s="86"/>
      <c r="AG654" s="94"/>
    </row>
    <row r="655" spans="24:33" x14ac:dyDescent="0.25">
      <c r="X655" s="86"/>
      <c r="AG655" s="94"/>
    </row>
    <row r="656" spans="24:33" x14ac:dyDescent="0.25">
      <c r="X656" s="86"/>
      <c r="AG656" s="94"/>
    </row>
    <row r="657" spans="24:33" x14ac:dyDescent="0.25">
      <c r="X657" s="86"/>
      <c r="AG657" s="94"/>
    </row>
    <row r="658" spans="24:33" x14ac:dyDescent="0.25">
      <c r="X658" s="86"/>
      <c r="AG658" s="94"/>
    </row>
    <row r="659" spans="24:33" x14ac:dyDescent="0.25">
      <c r="X659" s="86"/>
      <c r="AG659" s="94"/>
    </row>
    <row r="660" spans="24:33" x14ac:dyDescent="0.25">
      <c r="X660" s="86"/>
      <c r="AG660" s="94"/>
    </row>
    <row r="661" spans="24:33" x14ac:dyDescent="0.25">
      <c r="X661" s="86"/>
      <c r="AG661" s="94"/>
    </row>
    <row r="662" spans="24:33" x14ac:dyDescent="0.25">
      <c r="X662" s="86"/>
      <c r="AG662" s="94"/>
    </row>
    <row r="663" spans="24:33" x14ac:dyDescent="0.25">
      <c r="X663" s="86"/>
      <c r="AG663" s="94"/>
    </row>
    <row r="664" spans="24:33" x14ac:dyDescent="0.25">
      <c r="X664" s="86"/>
      <c r="AG664" s="94"/>
    </row>
    <row r="665" spans="24:33" x14ac:dyDescent="0.25">
      <c r="X665" s="86"/>
      <c r="AG665" s="94"/>
    </row>
    <row r="666" spans="24:33" x14ac:dyDescent="0.25">
      <c r="X666" s="86"/>
      <c r="AG666" s="94"/>
    </row>
    <row r="667" spans="24:33" x14ac:dyDescent="0.25">
      <c r="X667" s="86"/>
      <c r="AG667" s="94"/>
    </row>
    <row r="668" spans="24:33" x14ac:dyDescent="0.25">
      <c r="X668" s="86"/>
      <c r="AG668" s="94"/>
    </row>
    <row r="669" spans="24:33" x14ac:dyDescent="0.25">
      <c r="X669" s="86"/>
      <c r="AG669" s="94"/>
    </row>
    <row r="670" spans="24:33" x14ac:dyDescent="0.25">
      <c r="X670" s="86"/>
      <c r="AG670" s="94"/>
    </row>
    <row r="671" spans="24:33" x14ac:dyDescent="0.25">
      <c r="X671" s="86"/>
      <c r="AG671" s="94"/>
    </row>
    <row r="672" spans="24:33" x14ac:dyDescent="0.25">
      <c r="X672" s="86"/>
      <c r="AG672" s="94"/>
    </row>
    <row r="673" spans="24:33" x14ac:dyDescent="0.25">
      <c r="X673" s="86"/>
      <c r="AG673" s="94"/>
    </row>
    <row r="674" spans="24:33" x14ac:dyDescent="0.25">
      <c r="X674" s="86"/>
      <c r="AG674" s="94"/>
    </row>
    <row r="675" spans="24:33" x14ac:dyDescent="0.25">
      <c r="X675" s="86"/>
      <c r="AG675" s="94"/>
    </row>
    <row r="676" spans="24:33" x14ac:dyDescent="0.25">
      <c r="X676" s="86"/>
      <c r="AG676" s="94"/>
    </row>
    <row r="677" spans="24:33" x14ac:dyDescent="0.25">
      <c r="X677" s="86"/>
      <c r="AG677" s="94"/>
    </row>
    <row r="678" spans="24:33" x14ac:dyDescent="0.25">
      <c r="X678" s="86"/>
      <c r="AG678" s="94"/>
    </row>
    <row r="679" spans="24:33" x14ac:dyDescent="0.25">
      <c r="X679" s="86"/>
      <c r="AG679" s="94"/>
    </row>
    <row r="680" spans="24:33" x14ac:dyDescent="0.25">
      <c r="X680" s="86"/>
      <c r="AG680" s="94"/>
    </row>
    <row r="681" spans="24:33" x14ac:dyDescent="0.25">
      <c r="X681" s="86"/>
      <c r="AG681" s="94"/>
    </row>
    <row r="682" spans="24:33" x14ac:dyDescent="0.25">
      <c r="X682" s="86"/>
      <c r="AG682" s="94"/>
    </row>
    <row r="683" spans="24:33" x14ac:dyDescent="0.25">
      <c r="X683" s="86"/>
      <c r="AG683" s="94"/>
    </row>
    <row r="684" spans="24:33" x14ac:dyDescent="0.25">
      <c r="X684" s="86"/>
      <c r="AG684" s="94"/>
    </row>
    <row r="685" spans="24:33" x14ac:dyDescent="0.25">
      <c r="X685" s="86"/>
      <c r="AG685" s="94"/>
    </row>
    <row r="686" spans="24:33" x14ac:dyDescent="0.25">
      <c r="X686" s="86"/>
      <c r="AG686" s="94"/>
    </row>
    <row r="687" spans="24:33" x14ac:dyDescent="0.25">
      <c r="X687" s="86"/>
      <c r="AG687" s="94"/>
    </row>
    <row r="688" spans="24:33" x14ac:dyDescent="0.25">
      <c r="X688" s="86"/>
      <c r="AG688" s="94"/>
    </row>
    <row r="689" spans="24:33" x14ac:dyDescent="0.25">
      <c r="X689" s="86"/>
      <c r="AG689" s="94"/>
    </row>
    <row r="690" spans="24:33" x14ac:dyDescent="0.25">
      <c r="X690" s="86"/>
      <c r="AG690" s="94"/>
    </row>
    <row r="691" spans="24:33" x14ac:dyDescent="0.25">
      <c r="X691" s="86"/>
      <c r="AG691" s="94"/>
    </row>
    <row r="692" spans="24:33" x14ac:dyDescent="0.25">
      <c r="X692" s="86"/>
      <c r="AG692" s="94"/>
    </row>
    <row r="693" spans="24:33" x14ac:dyDescent="0.25">
      <c r="X693" s="86"/>
      <c r="AG693" s="94"/>
    </row>
    <row r="694" spans="24:33" x14ac:dyDescent="0.25">
      <c r="X694" s="86"/>
      <c r="AG694" s="94"/>
    </row>
    <row r="695" spans="24:33" x14ac:dyDescent="0.25">
      <c r="X695" s="86"/>
      <c r="AG695" s="94"/>
    </row>
    <row r="696" spans="24:33" x14ac:dyDescent="0.25">
      <c r="X696" s="86"/>
      <c r="AG696" s="94"/>
    </row>
    <row r="697" spans="24:33" x14ac:dyDescent="0.25">
      <c r="X697" s="86"/>
      <c r="AG697" s="94"/>
    </row>
    <row r="698" spans="24:33" x14ac:dyDescent="0.25">
      <c r="X698" s="86"/>
      <c r="AG698" s="94"/>
    </row>
    <row r="699" spans="24:33" x14ac:dyDescent="0.25">
      <c r="X699" s="86"/>
      <c r="AG699" s="94"/>
    </row>
    <row r="700" spans="24:33" x14ac:dyDescent="0.25">
      <c r="X700" s="86"/>
      <c r="AG700" s="94"/>
    </row>
    <row r="701" spans="24:33" x14ac:dyDescent="0.25">
      <c r="X701" s="86"/>
      <c r="AG701" s="94"/>
    </row>
    <row r="702" spans="24:33" x14ac:dyDescent="0.25">
      <c r="X702" s="86"/>
      <c r="AG702" s="94"/>
    </row>
    <row r="703" spans="24:33" x14ac:dyDescent="0.25">
      <c r="X703" s="86"/>
      <c r="AG703" s="94"/>
    </row>
    <row r="704" spans="24:33" x14ac:dyDescent="0.25">
      <c r="X704" s="86"/>
      <c r="AG704" s="94"/>
    </row>
    <row r="705" spans="24:33" x14ac:dyDescent="0.25">
      <c r="X705" s="86"/>
      <c r="AG705" s="94"/>
    </row>
    <row r="706" spans="24:33" x14ac:dyDescent="0.25">
      <c r="X706" s="86"/>
      <c r="AG706" s="94"/>
    </row>
    <row r="707" spans="24:33" x14ac:dyDescent="0.25">
      <c r="X707" s="86"/>
      <c r="AG707" s="94"/>
    </row>
    <row r="708" spans="24:33" x14ac:dyDescent="0.25">
      <c r="X708" s="86"/>
      <c r="AG708" s="94"/>
    </row>
    <row r="709" spans="24:33" x14ac:dyDescent="0.25">
      <c r="X709" s="86"/>
      <c r="AG709" s="94"/>
    </row>
    <row r="710" spans="24:33" x14ac:dyDescent="0.25">
      <c r="X710" s="86"/>
      <c r="AG710" s="94"/>
    </row>
    <row r="711" spans="24:33" x14ac:dyDescent="0.25">
      <c r="X711" s="86"/>
      <c r="AG711" s="94"/>
    </row>
    <row r="712" spans="24:33" x14ac:dyDescent="0.25">
      <c r="X712" s="86"/>
      <c r="AG712" s="94"/>
    </row>
    <row r="713" spans="24:33" x14ac:dyDescent="0.25">
      <c r="X713" s="86"/>
      <c r="AG713" s="94"/>
    </row>
    <row r="714" spans="24:33" x14ac:dyDescent="0.25">
      <c r="X714" s="86"/>
      <c r="AG714" s="94"/>
    </row>
    <row r="715" spans="24:33" x14ac:dyDescent="0.25">
      <c r="X715" s="86"/>
      <c r="AG715" s="94"/>
    </row>
    <row r="716" spans="24:33" x14ac:dyDescent="0.25">
      <c r="X716" s="86"/>
      <c r="AG716" s="94"/>
    </row>
    <row r="717" spans="24:33" x14ac:dyDescent="0.25">
      <c r="X717" s="86"/>
      <c r="AG717" s="94"/>
    </row>
    <row r="718" spans="24:33" x14ac:dyDescent="0.25">
      <c r="X718" s="86"/>
      <c r="AG718" s="94"/>
    </row>
    <row r="719" spans="24:33" x14ac:dyDescent="0.25">
      <c r="X719" s="86"/>
      <c r="AG719" s="94"/>
    </row>
    <row r="720" spans="24:33" x14ac:dyDescent="0.25">
      <c r="X720" s="86"/>
      <c r="AG720" s="94"/>
    </row>
    <row r="721" spans="24:33" x14ac:dyDescent="0.25">
      <c r="X721" s="86"/>
      <c r="AG721" s="94"/>
    </row>
    <row r="722" spans="24:33" x14ac:dyDescent="0.25">
      <c r="X722" s="86"/>
      <c r="AG722" s="94"/>
    </row>
    <row r="723" spans="24:33" x14ac:dyDescent="0.25">
      <c r="X723" s="86"/>
      <c r="AG723" s="94"/>
    </row>
    <row r="724" spans="24:33" x14ac:dyDescent="0.25">
      <c r="X724" s="86"/>
      <c r="AG724" s="94"/>
    </row>
    <row r="725" spans="24:33" x14ac:dyDescent="0.25">
      <c r="X725" s="86"/>
      <c r="AG725" s="94"/>
    </row>
    <row r="726" spans="24:33" x14ac:dyDescent="0.25">
      <c r="X726" s="86"/>
      <c r="AG726" s="94"/>
    </row>
    <row r="727" spans="24:33" x14ac:dyDescent="0.25">
      <c r="X727" s="86"/>
      <c r="AG727" s="94"/>
    </row>
    <row r="728" spans="24:33" x14ac:dyDescent="0.25">
      <c r="X728" s="86"/>
      <c r="AG728" s="94"/>
    </row>
    <row r="729" spans="24:33" x14ac:dyDescent="0.25">
      <c r="X729" s="86"/>
      <c r="AG729" s="94"/>
    </row>
    <row r="730" spans="24:33" x14ac:dyDescent="0.25">
      <c r="X730" s="86"/>
      <c r="AG730" s="94"/>
    </row>
    <row r="731" spans="24:33" x14ac:dyDescent="0.25">
      <c r="X731" s="86"/>
      <c r="AG731" s="94"/>
    </row>
    <row r="732" spans="24:33" x14ac:dyDescent="0.25">
      <c r="X732" s="86"/>
      <c r="AG732" s="94"/>
    </row>
    <row r="733" spans="24:33" x14ac:dyDescent="0.25">
      <c r="X733" s="86"/>
      <c r="AG733" s="94"/>
    </row>
    <row r="734" spans="24:33" x14ac:dyDescent="0.25">
      <c r="X734" s="86"/>
      <c r="AG734" s="94"/>
    </row>
    <row r="735" spans="24:33" x14ac:dyDescent="0.25">
      <c r="X735" s="86"/>
      <c r="AG735" s="94"/>
    </row>
    <row r="736" spans="24:33" x14ac:dyDescent="0.25">
      <c r="X736" s="86"/>
      <c r="AG736" s="94"/>
    </row>
    <row r="737" spans="24:33" x14ac:dyDescent="0.25">
      <c r="X737" s="86"/>
      <c r="AG737" s="94"/>
    </row>
    <row r="738" spans="24:33" x14ac:dyDescent="0.25">
      <c r="X738" s="86"/>
      <c r="AG738" s="94"/>
    </row>
    <row r="739" spans="24:33" x14ac:dyDescent="0.25">
      <c r="X739" s="86"/>
      <c r="AG739" s="94"/>
    </row>
    <row r="740" spans="24:33" x14ac:dyDescent="0.25">
      <c r="X740" s="86"/>
      <c r="AG740" s="94"/>
    </row>
    <row r="741" spans="24:33" x14ac:dyDescent="0.25">
      <c r="X741" s="86"/>
      <c r="AG741" s="94"/>
    </row>
    <row r="742" spans="24:33" x14ac:dyDescent="0.25">
      <c r="X742" s="86"/>
      <c r="AG742" s="94"/>
    </row>
    <row r="743" spans="24:33" x14ac:dyDescent="0.25">
      <c r="X743" s="86"/>
      <c r="AG743" s="94"/>
    </row>
    <row r="744" spans="24:33" x14ac:dyDescent="0.25">
      <c r="X744" s="86"/>
      <c r="AG744" s="94"/>
    </row>
    <row r="745" spans="24:33" x14ac:dyDescent="0.25">
      <c r="X745" s="86"/>
      <c r="AG745" s="94"/>
    </row>
    <row r="746" spans="24:33" x14ac:dyDescent="0.25">
      <c r="X746" s="86"/>
      <c r="AG746" s="94"/>
    </row>
    <row r="747" spans="24:33" x14ac:dyDescent="0.25">
      <c r="X747" s="86"/>
      <c r="AG747" s="94"/>
    </row>
    <row r="748" spans="24:33" x14ac:dyDescent="0.25">
      <c r="X748" s="86"/>
      <c r="AG748" s="94"/>
    </row>
    <row r="749" spans="24:33" x14ac:dyDescent="0.25">
      <c r="X749" s="86"/>
      <c r="AG749" s="94"/>
    </row>
    <row r="750" spans="24:33" x14ac:dyDescent="0.25">
      <c r="X750" s="86"/>
      <c r="AG750" s="94"/>
    </row>
    <row r="751" spans="24:33" x14ac:dyDescent="0.25">
      <c r="X751" s="86"/>
      <c r="AG751" s="94"/>
    </row>
    <row r="752" spans="24:33" x14ac:dyDescent="0.25">
      <c r="X752" s="86"/>
      <c r="AG752" s="94"/>
    </row>
    <row r="753" spans="24:33" x14ac:dyDescent="0.25">
      <c r="X753" s="86"/>
      <c r="AG753" s="94"/>
    </row>
    <row r="754" spans="24:33" x14ac:dyDescent="0.25">
      <c r="X754" s="86"/>
      <c r="AG754" s="94"/>
    </row>
    <row r="755" spans="24:33" x14ac:dyDescent="0.25">
      <c r="X755" s="86"/>
      <c r="AG755" s="94"/>
    </row>
    <row r="756" spans="24:33" x14ac:dyDescent="0.25">
      <c r="X756" s="86"/>
      <c r="AG756" s="94"/>
    </row>
    <row r="757" spans="24:33" x14ac:dyDescent="0.25">
      <c r="X757" s="86"/>
      <c r="AG757" s="94"/>
    </row>
    <row r="758" spans="24:33" x14ac:dyDescent="0.25">
      <c r="X758" s="86"/>
      <c r="AG758" s="94"/>
    </row>
    <row r="759" spans="24:33" x14ac:dyDescent="0.25">
      <c r="X759" s="86"/>
      <c r="AG759" s="94"/>
    </row>
    <row r="760" spans="24:33" x14ac:dyDescent="0.25">
      <c r="X760" s="86"/>
      <c r="AG760" s="94"/>
    </row>
    <row r="761" spans="24:33" x14ac:dyDescent="0.25">
      <c r="X761" s="86"/>
      <c r="AG761" s="94"/>
    </row>
    <row r="762" spans="24:33" x14ac:dyDescent="0.25">
      <c r="X762" s="86"/>
      <c r="AG762" s="94"/>
    </row>
    <row r="763" spans="24:33" x14ac:dyDescent="0.25">
      <c r="X763" s="86"/>
      <c r="AG763" s="94"/>
    </row>
    <row r="764" spans="24:33" x14ac:dyDescent="0.25">
      <c r="X764" s="86"/>
      <c r="AG764" s="94"/>
    </row>
    <row r="765" spans="24:33" x14ac:dyDescent="0.25">
      <c r="X765" s="86"/>
      <c r="AG765" s="94"/>
    </row>
    <row r="766" spans="24:33" x14ac:dyDescent="0.25">
      <c r="X766" s="86"/>
      <c r="AG766" s="94"/>
    </row>
    <row r="767" spans="24:33" x14ac:dyDescent="0.25">
      <c r="X767" s="86"/>
      <c r="AG767" s="94"/>
    </row>
    <row r="768" spans="24:33" x14ac:dyDescent="0.25">
      <c r="X768" s="86"/>
      <c r="AG768" s="94"/>
    </row>
    <row r="769" spans="24:33" x14ac:dyDescent="0.25">
      <c r="X769" s="86"/>
      <c r="AG769" s="94"/>
    </row>
    <row r="770" spans="24:33" x14ac:dyDescent="0.25">
      <c r="X770" s="86"/>
      <c r="AG770" s="94"/>
    </row>
    <row r="771" spans="24:33" x14ac:dyDescent="0.25">
      <c r="X771" s="86"/>
      <c r="AG771" s="94"/>
    </row>
    <row r="772" spans="24:33" x14ac:dyDescent="0.25">
      <c r="X772" s="86"/>
      <c r="AG772" s="94"/>
    </row>
    <row r="773" spans="24:33" x14ac:dyDescent="0.25">
      <c r="X773" s="86"/>
      <c r="AG773" s="94"/>
    </row>
    <row r="774" spans="24:33" x14ac:dyDescent="0.25">
      <c r="X774" s="86"/>
      <c r="AG774" s="94"/>
    </row>
    <row r="775" spans="24:33" x14ac:dyDescent="0.25">
      <c r="X775" s="86"/>
      <c r="AG775" s="94"/>
    </row>
    <row r="776" spans="24:33" x14ac:dyDescent="0.25">
      <c r="X776" s="86"/>
      <c r="AG776" s="94"/>
    </row>
    <row r="777" spans="24:33" x14ac:dyDescent="0.25">
      <c r="X777" s="86"/>
      <c r="AG777" s="94"/>
    </row>
    <row r="778" spans="24:33" x14ac:dyDescent="0.25">
      <c r="X778" s="86"/>
      <c r="AG778" s="94"/>
    </row>
    <row r="779" spans="24:33" x14ac:dyDescent="0.25">
      <c r="X779" s="86"/>
      <c r="AG779" s="94"/>
    </row>
    <row r="780" spans="24:33" x14ac:dyDescent="0.25">
      <c r="X780" s="86"/>
      <c r="AG780" s="94"/>
    </row>
    <row r="781" spans="24:33" x14ac:dyDescent="0.25">
      <c r="X781" s="86"/>
      <c r="AG781" s="94"/>
    </row>
    <row r="782" spans="24:33" x14ac:dyDescent="0.25">
      <c r="X782" s="86"/>
      <c r="AG782" s="94"/>
    </row>
    <row r="783" spans="24:33" x14ac:dyDescent="0.25">
      <c r="X783" s="86"/>
      <c r="AG783" s="94"/>
    </row>
    <row r="784" spans="24:33" x14ac:dyDescent="0.25">
      <c r="X784" s="86"/>
      <c r="AG784" s="94"/>
    </row>
    <row r="785" spans="24:33" x14ac:dyDescent="0.25">
      <c r="X785" s="86"/>
      <c r="AG785" s="94"/>
    </row>
    <row r="786" spans="24:33" x14ac:dyDescent="0.25">
      <c r="X786" s="86"/>
      <c r="AG786" s="94"/>
    </row>
    <row r="787" spans="24:33" x14ac:dyDescent="0.25">
      <c r="X787" s="86"/>
      <c r="AG787" s="94"/>
    </row>
    <row r="788" spans="24:33" x14ac:dyDescent="0.25">
      <c r="X788" s="86"/>
      <c r="AG788" s="94"/>
    </row>
    <row r="789" spans="24:33" x14ac:dyDescent="0.25">
      <c r="X789" s="86"/>
      <c r="AG789" s="94"/>
    </row>
    <row r="790" spans="24:33" x14ac:dyDescent="0.25">
      <c r="X790" s="86"/>
      <c r="AG790" s="94"/>
    </row>
    <row r="791" spans="24:33" x14ac:dyDescent="0.25">
      <c r="X791" s="86"/>
      <c r="AG791" s="94"/>
    </row>
    <row r="792" spans="24:33" x14ac:dyDescent="0.25">
      <c r="X792" s="86"/>
      <c r="AG792" s="94"/>
    </row>
    <row r="793" spans="24:33" x14ac:dyDescent="0.25">
      <c r="X793" s="86"/>
      <c r="AG793" s="94"/>
    </row>
    <row r="794" spans="24:33" x14ac:dyDescent="0.25">
      <c r="X794" s="86"/>
      <c r="AG794" s="94"/>
    </row>
    <row r="795" spans="24:33" x14ac:dyDescent="0.25">
      <c r="X795" s="86"/>
      <c r="AG795" s="94"/>
    </row>
    <row r="796" spans="24:33" x14ac:dyDescent="0.25">
      <c r="X796" s="86"/>
      <c r="AG796" s="94"/>
    </row>
    <row r="797" spans="24:33" x14ac:dyDescent="0.25">
      <c r="X797" s="86"/>
      <c r="AG797" s="94"/>
    </row>
    <row r="798" spans="24:33" x14ac:dyDescent="0.25">
      <c r="X798" s="86"/>
      <c r="AG798" s="94"/>
    </row>
    <row r="799" spans="24:33" x14ac:dyDescent="0.25">
      <c r="X799" s="86"/>
      <c r="AG799" s="94"/>
    </row>
    <row r="800" spans="24:33" x14ac:dyDescent="0.25">
      <c r="X800" s="86"/>
      <c r="AG800" s="94"/>
    </row>
    <row r="801" spans="24:33" x14ac:dyDescent="0.25">
      <c r="X801" s="86"/>
      <c r="AG801" s="94"/>
    </row>
    <row r="802" spans="24:33" x14ac:dyDescent="0.25">
      <c r="X802" s="86"/>
      <c r="AG802" s="94"/>
    </row>
    <row r="803" spans="24:33" x14ac:dyDescent="0.25">
      <c r="X803" s="86"/>
      <c r="AG803" s="94"/>
    </row>
    <row r="804" spans="24:33" x14ac:dyDescent="0.25">
      <c r="X804" s="86"/>
      <c r="AG804" s="94"/>
    </row>
    <row r="805" spans="24:33" x14ac:dyDescent="0.25">
      <c r="X805" s="86"/>
      <c r="AG805" s="94"/>
    </row>
    <row r="806" spans="24:33" x14ac:dyDescent="0.25">
      <c r="X806" s="86"/>
      <c r="AG806" s="94"/>
    </row>
    <row r="807" spans="24:33" x14ac:dyDescent="0.25">
      <c r="X807" s="86"/>
      <c r="AG807" s="94"/>
    </row>
    <row r="808" spans="24:33" x14ac:dyDescent="0.25">
      <c r="X808" s="86"/>
      <c r="AG808" s="94"/>
    </row>
    <row r="809" spans="24:33" x14ac:dyDescent="0.25">
      <c r="X809" s="86"/>
      <c r="AG809" s="94"/>
    </row>
    <row r="810" spans="24:33" x14ac:dyDescent="0.25">
      <c r="X810" s="86"/>
      <c r="AG810" s="94"/>
    </row>
    <row r="811" spans="24:33" x14ac:dyDescent="0.25">
      <c r="X811" s="86"/>
      <c r="AG811" s="94"/>
    </row>
    <row r="812" spans="24:33" x14ac:dyDescent="0.25">
      <c r="X812" s="86"/>
      <c r="AG812" s="94"/>
    </row>
    <row r="813" spans="24:33" x14ac:dyDescent="0.25">
      <c r="X813" s="86"/>
      <c r="AG813" s="94"/>
    </row>
    <row r="814" spans="24:33" x14ac:dyDescent="0.25">
      <c r="X814" s="86"/>
      <c r="AG814" s="94"/>
    </row>
    <row r="815" spans="24:33" x14ac:dyDescent="0.25">
      <c r="X815" s="86"/>
      <c r="AG815" s="94"/>
    </row>
    <row r="816" spans="24:33" x14ac:dyDescent="0.25">
      <c r="X816" s="86"/>
      <c r="AG816" s="94"/>
    </row>
    <row r="817" spans="24:33" x14ac:dyDescent="0.25">
      <c r="X817" s="86"/>
      <c r="AG817" s="94"/>
    </row>
    <row r="818" spans="24:33" x14ac:dyDescent="0.25">
      <c r="X818" s="86"/>
      <c r="AG818" s="94"/>
    </row>
    <row r="819" spans="24:33" x14ac:dyDescent="0.25">
      <c r="X819" s="86"/>
      <c r="AG819" s="94"/>
    </row>
    <row r="820" spans="24:33" x14ac:dyDescent="0.25">
      <c r="X820" s="86"/>
      <c r="AG820" s="94"/>
    </row>
    <row r="821" spans="24:33" x14ac:dyDescent="0.25">
      <c r="X821" s="86"/>
      <c r="AG821" s="94"/>
    </row>
    <row r="822" spans="24:33" x14ac:dyDescent="0.25">
      <c r="X822" s="86"/>
      <c r="AG822" s="94"/>
    </row>
    <row r="823" spans="24:33" x14ac:dyDescent="0.25">
      <c r="X823" s="86"/>
      <c r="AG823" s="94"/>
    </row>
    <row r="824" spans="24:33" x14ac:dyDescent="0.25">
      <c r="X824" s="86"/>
      <c r="AG824" s="94"/>
    </row>
    <row r="825" spans="24:33" x14ac:dyDescent="0.25">
      <c r="X825" s="86"/>
      <c r="AG825" s="94"/>
    </row>
    <row r="826" spans="24:33" x14ac:dyDescent="0.25">
      <c r="X826" s="86"/>
      <c r="AG826" s="94"/>
    </row>
    <row r="827" spans="24:33" x14ac:dyDescent="0.25">
      <c r="X827" s="86"/>
      <c r="AG827" s="94"/>
    </row>
    <row r="828" spans="24:33" x14ac:dyDescent="0.25">
      <c r="X828" s="86"/>
      <c r="AG828" s="94"/>
    </row>
    <row r="829" spans="24:33" x14ac:dyDescent="0.25">
      <c r="X829" s="86"/>
      <c r="AG829" s="94"/>
    </row>
    <row r="830" spans="24:33" x14ac:dyDescent="0.25">
      <c r="X830" s="86"/>
      <c r="AG830" s="94"/>
    </row>
    <row r="831" spans="24:33" x14ac:dyDescent="0.25">
      <c r="X831" s="86"/>
    </row>
    <row r="832" spans="24:33" x14ac:dyDescent="0.25">
      <c r="X832" s="86"/>
    </row>
    <row r="833" spans="24:24" x14ac:dyDescent="0.25">
      <c r="X833" s="86"/>
    </row>
    <row r="834" spans="24:24" x14ac:dyDescent="0.25">
      <c r="X834" s="86"/>
    </row>
    <row r="835" spans="24:24" x14ac:dyDescent="0.25">
      <c r="X835" s="86"/>
    </row>
    <row r="836" spans="24:24" x14ac:dyDescent="0.25">
      <c r="X836" s="86"/>
    </row>
  </sheetData>
  <sheetProtection sheet="1" objects="1" scenarios="1"/>
  <mergeCells count="1">
    <mergeCell ref="B12:M12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CF076-0608-490F-89A5-30EFF87124EA}">
  <dimension ref="A1:C18"/>
  <sheetViews>
    <sheetView workbookViewId="0">
      <selection activeCell="A19" sqref="A19"/>
    </sheetView>
  </sheetViews>
  <sheetFormatPr defaultRowHeight="15" x14ac:dyDescent="0.25"/>
  <cols>
    <col min="1" max="1" width="10.7109375" bestFit="1" customWidth="1"/>
    <col min="2" max="2" width="17.28515625" bestFit="1" customWidth="1"/>
    <col min="3" max="3" width="92.85546875" style="53" bestFit="1" customWidth="1"/>
  </cols>
  <sheetData>
    <row r="1" spans="1:3" x14ac:dyDescent="0.25">
      <c r="A1" s="43" t="s">
        <v>64</v>
      </c>
      <c r="B1" s="44" t="s">
        <v>65</v>
      </c>
      <c r="C1" s="45" t="s">
        <v>66</v>
      </c>
    </row>
    <row r="2" spans="1:3" ht="60" x14ac:dyDescent="0.25">
      <c r="A2" t="s">
        <v>79</v>
      </c>
      <c r="B2" t="s">
        <v>80</v>
      </c>
      <c r="C2" s="53" t="s">
        <v>81</v>
      </c>
    </row>
    <row r="3" spans="1:3" x14ac:dyDescent="0.25">
      <c r="A3" s="46">
        <v>43707</v>
      </c>
      <c r="B3" s="47" t="s">
        <v>67</v>
      </c>
      <c r="C3" s="48" t="s">
        <v>68</v>
      </c>
    </row>
    <row r="4" spans="1:3" ht="30" x14ac:dyDescent="0.25">
      <c r="A4" s="52">
        <v>43719</v>
      </c>
      <c r="B4" t="s">
        <v>67</v>
      </c>
      <c r="C4" s="53" t="s">
        <v>77</v>
      </c>
    </row>
    <row r="5" spans="1:3" ht="45" x14ac:dyDescent="0.25">
      <c r="A5" s="52">
        <v>43766</v>
      </c>
      <c r="B5" t="s">
        <v>67</v>
      </c>
      <c r="C5" s="53" t="s">
        <v>78</v>
      </c>
    </row>
    <row r="6" spans="1:3" x14ac:dyDescent="0.25">
      <c r="A6" s="52">
        <v>43773</v>
      </c>
      <c r="B6" t="s">
        <v>67</v>
      </c>
      <c r="C6" s="53" t="s">
        <v>93</v>
      </c>
    </row>
    <row r="7" spans="1:3" x14ac:dyDescent="0.25">
      <c r="A7" s="52">
        <v>43804</v>
      </c>
      <c r="B7" t="s">
        <v>67</v>
      </c>
      <c r="C7" s="53" t="s">
        <v>95</v>
      </c>
    </row>
    <row r="8" spans="1:3" x14ac:dyDescent="0.25">
      <c r="A8" s="52">
        <v>43889</v>
      </c>
      <c r="B8" t="s">
        <v>67</v>
      </c>
      <c r="C8" s="53" t="s">
        <v>100</v>
      </c>
    </row>
    <row r="9" spans="1:3" x14ac:dyDescent="0.25">
      <c r="A9" s="52">
        <v>43889</v>
      </c>
      <c r="B9" t="s">
        <v>67</v>
      </c>
      <c r="C9" s="53" t="s">
        <v>99</v>
      </c>
    </row>
    <row r="10" spans="1:3" x14ac:dyDescent="0.25">
      <c r="A10" s="52">
        <v>43889</v>
      </c>
      <c r="B10" t="s">
        <v>67</v>
      </c>
      <c r="C10" s="53" t="s">
        <v>101</v>
      </c>
    </row>
    <row r="11" spans="1:3" ht="30" x14ac:dyDescent="0.25">
      <c r="A11" s="52">
        <v>43900</v>
      </c>
      <c r="B11" t="s">
        <v>67</v>
      </c>
      <c r="C11" s="53" t="s">
        <v>110</v>
      </c>
    </row>
    <row r="12" spans="1:3" x14ac:dyDescent="0.25">
      <c r="A12" s="52">
        <v>43900</v>
      </c>
      <c r="B12" t="s">
        <v>67</v>
      </c>
      <c r="C12" s="53" t="s">
        <v>111</v>
      </c>
    </row>
    <row r="13" spans="1:3" ht="30" x14ac:dyDescent="0.25">
      <c r="A13" s="52">
        <v>43909</v>
      </c>
      <c r="B13" t="s">
        <v>67</v>
      </c>
      <c r="C13" s="53" t="s">
        <v>112</v>
      </c>
    </row>
    <row r="14" spans="1:3" x14ac:dyDescent="0.25">
      <c r="A14" s="52">
        <v>43955</v>
      </c>
      <c r="B14" t="s">
        <v>67</v>
      </c>
      <c r="C14" s="53" t="s">
        <v>114</v>
      </c>
    </row>
    <row r="15" spans="1:3" x14ac:dyDescent="0.25">
      <c r="A15" s="52">
        <v>43999</v>
      </c>
      <c r="B15" t="s">
        <v>67</v>
      </c>
      <c r="C15" s="53" t="s">
        <v>115</v>
      </c>
    </row>
    <row r="16" spans="1:3" x14ac:dyDescent="0.25">
      <c r="A16" s="52">
        <v>43999</v>
      </c>
      <c r="B16" t="s">
        <v>67</v>
      </c>
      <c r="C16" s="53" t="s">
        <v>116</v>
      </c>
    </row>
    <row r="17" spans="1:3" x14ac:dyDescent="0.25">
      <c r="A17" s="52">
        <v>45485</v>
      </c>
      <c r="B17" t="s">
        <v>186</v>
      </c>
      <c r="C17" s="53" t="s">
        <v>187</v>
      </c>
    </row>
    <row r="18" spans="1:3" ht="30" x14ac:dyDescent="0.25">
      <c r="A18" s="52">
        <v>45959</v>
      </c>
      <c r="B18" t="s">
        <v>67</v>
      </c>
      <c r="C18" s="53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"/>
  <sheetViews>
    <sheetView showGridLines="0" workbookViewId="0">
      <selection activeCell="E13" sqref="E13"/>
    </sheetView>
  </sheetViews>
  <sheetFormatPr defaultColWidth="9.140625" defaultRowHeight="15" x14ac:dyDescent="0.25"/>
  <cols>
    <col min="1" max="1" width="9.7109375" style="4" customWidth="1"/>
    <col min="2" max="2" width="9.7109375" style="4" hidden="1" customWidth="1"/>
    <col min="3" max="3" width="9.7109375" style="4" customWidth="1"/>
    <col min="4" max="4" width="7.140625" style="71" customWidth="1"/>
    <col min="5" max="5" width="42.5703125" style="4" customWidth="1"/>
    <col min="6" max="6" width="6.5703125" style="4" bestFit="1" customWidth="1"/>
    <col min="7" max="7" width="7.7109375" style="4" bestFit="1" customWidth="1"/>
    <col min="8" max="8" width="7.42578125" style="4" customWidth="1"/>
    <col min="9" max="12" width="8" style="4" customWidth="1"/>
    <col min="13" max="13" width="9.140625" style="4"/>
    <col min="14" max="14" width="9.140625" style="75"/>
    <col min="15" max="16384" width="9.140625" style="4"/>
  </cols>
  <sheetData>
    <row r="1" spans="1:14" ht="18.75" x14ac:dyDescent="0.3">
      <c r="A1" s="1" t="s">
        <v>88</v>
      </c>
      <c r="B1" s="2"/>
      <c r="C1" s="2"/>
      <c r="D1" s="64"/>
      <c r="E1" s="2"/>
      <c r="F1" s="2"/>
      <c r="G1" s="3"/>
      <c r="H1" s="3"/>
      <c r="I1" s="3"/>
    </row>
    <row r="2" spans="1:14" x14ac:dyDescent="0.25">
      <c r="A2" s="5" t="s">
        <v>89</v>
      </c>
      <c r="B2" s="2"/>
      <c r="C2" s="2"/>
      <c r="D2" s="64"/>
      <c r="E2" s="2"/>
      <c r="F2" s="2"/>
      <c r="G2" s="3"/>
      <c r="H2" s="3"/>
      <c r="I2" s="3"/>
    </row>
    <row r="3" spans="1:14" x14ac:dyDescent="0.25">
      <c r="A3" s="5" t="s">
        <v>74</v>
      </c>
      <c r="B3" s="2"/>
      <c r="C3" s="2"/>
      <c r="D3" s="64"/>
      <c r="E3" s="2"/>
      <c r="F3" s="2"/>
      <c r="G3" s="3"/>
      <c r="H3" s="3"/>
      <c r="I3" s="3"/>
    </row>
    <row r="4" spans="1:14" x14ac:dyDescent="0.25">
      <c r="B4" s="2"/>
      <c r="C4" s="2"/>
      <c r="D4" s="64"/>
      <c r="E4" s="2"/>
      <c r="F4" s="2"/>
      <c r="G4" s="3"/>
      <c r="H4" s="3"/>
      <c r="I4" s="3"/>
    </row>
    <row r="5" spans="1:14" s="10" customFormat="1" ht="51.75" x14ac:dyDescent="0.25">
      <c r="A5" s="7" t="s">
        <v>1</v>
      </c>
      <c r="B5" s="7" t="s">
        <v>70</v>
      </c>
      <c r="C5" s="7" t="s">
        <v>71</v>
      </c>
      <c r="D5" s="65" t="s">
        <v>86</v>
      </c>
      <c r="E5" s="8" t="s">
        <v>63</v>
      </c>
      <c r="F5" s="7" t="s">
        <v>3</v>
      </c>
      <c r="G5" s="42" t="s">
        <v>72</v>
      </c>
      <c r="H5" s="7" t="s">
        <v>69</v>
      </c>
      <c r="I5" s="7" t="s">
        <v>4</v>
      </c>
      <c r="J5" s="7" t="s">
        <v>5</v>
      </c>
      <c r="K5" s="7" t="s">
        <v>6</v>
      </c>
      <c r="L5" s="7" t="s">
        <v>7</v>
      </c>
      <c r="N5" s="76"/>
    </row>
    <row r="6" spans="1:14" x14ac:dyDescent="0.25">
      <c r="A6" s="11" t="s">
        <v>8</v>
      </c>
      <c r="B6" s="11">
        <v>2</v>
      </c>
      <c r="C6" s="12" t="s">
        <v>13</v>
      </c>
      <c r="D6" s="66" t="s">
        <v>14</v>
      </c>
      <c r="E6" s="6" t="s">
        <v>15</v>
      </c>
      <c r="F6" s="3">
        <v>363</v>
      </c>
      <c r="G6" s="3">
        <v>8</v>
      </c>
      <c r="H6" s="3" t="s">
        <v>12</v>
      </c>
      <c r="I6" s="50">
        <f>(VLOOKUP($C6,'February 2018'!$C$6:$L$12,7,0)+0.07)*1.025</f>
        <v>33.580135025915737</v>
      </c>
      <c r="J6" s="50">
        <f>(VLOOKUP($C6,'February 2018'!$C$6:$L$12,8,0)+0.07)*1.025</f>
        <v>35.263180453116711</v>
      </c>
      <c r="K6" s="50">
        <f>(VLOOKUP($C6,'February 2018'!$C$6:$L$12,9,0)+0.07)*1.025</f>
        <v>37.013454967630132</v>
      </c>
      <c r="L6" s="51" t="s">
        <v>62</v>
      </c>
      <c r="M6" s="58"/>
    </row>
    <row r="7" spans="1:14" x14ac:dyDescent="0.25">
      <c r="A7" s="11" t="s">
        <v>8</v>
      </c>
      <c r="B7" s="11"/>
      <c r="C7" s="12" t="s">
        <v>96</v>
      </c>
      <c r="D7" s="66" t="s">
        <v>97</v>
      </c>
      <c r="E7" s="6" t="s">
        <v>98</v>
      </c>
      <c r="F7" s="3">
        <v>330</v>
      </c>
      <c r="G7" s="3">
        <v>7</v>
      </c>
      <c r="H7" s="3" t="s">
        <v>12</v>
      </c>
      <c r="I7" s="50">
        <v>28.49</v>
      </c>
      <c r="J7" s="50">
        <v>29.85</v>
      </c>
      <c r="K7" s="50">
        <v>31.28</v>
      </c>
      <c r="L7" s="51">
        <v>32.78</v>
      </c>
      <c r="M7" s="58"/>
    </row>
    <row r="8" spans="1:14" x14ac:dyDescent="0.25">
      <c r="A8" s="11" t="s">
        <v>8</v>
      </c>
      <c r="B8" s="11"/>
      <c r="C8" s="60" t="s">
        <v>75</v>
      </c>
      <c r="D8" s="66">
        <v>1</v>
      </c>
      <c r="E8" s="6" t="s">
        <v>87</v>
      </c>
      <c r="F8" s="3"/>
      <c r="G8" s="3" t="s">
        <v>76</v>
      </c>
      <c r="H8" s="3" t="s">
        <v>12</v>
      </c>
      <c r="I8" s="50">
        <v>18.149999999999999</v>
      </c>
      <c r="J8" s="40"/>
      <c r="K8" s="40"/>
      <c r="L8" s="40"/>
    </row>
    <row r="9" spans="1:14" x14ac:dyDescent="0.25">
      <c r="A9" s="11" t="s">
        <v>8</v>
      </c>
      <c r="B9" s="11">
        <v>2</v>
      </c>
      <c r="C9" t="s">
        <v>90</v>
      </c>
      <c r="D9" s="61" t="s">
        <v>21</v>
      </c>
      <c r="E9" s="6" t="s">
        <v>56</v>
      </c>
      <c r="F9" s="3">
        <v>265</v>
      </c>
      <c r="G9" s="3">
        <v>5</v>
      </c>
      <c r="H9" s="3" t="s">
        <v>12</v>
      </c>
      <c r="I9" s="50">
        <f>(VLOOKUP($C9,'February 2018'!$C$6:$L$12,7,0)+0.07)*1.025</f>
        <v>24.611274999999996</v>
      </c>
      <c r="J9" s="50">
        <f>(VLOOKUP($C9,'February 2018'!$C$6:$L$12,8,0)+0.07)*1.025</f>
        <v>25.838200000000001</v>
      </c>
      <c r="K9" s="50">
        <f>(VLOOKUP($C9,'February 2018'!$C$6:$L$12,9,0)+0.07)*1.025</f>
        <v>27.126624999999997</v>
      </c>
      <c r="L9" s="50">
        <f>(VLOOKUP($C9,'February 2018'!$C$6:$L$12,10,0)+0.07)*1.025</f>
        <v>28.479624999999999</v>
      </c>
      <c r="M9" s="58"/>
    </row>
    <row r="10" spans="1:14" x14ac:dyDescent="0.25">
      <c r="A10" s="55" t="s">
        <v>8</v>
      </c>
      <c r="B10" s="55">
        <v>2</v>
      </c>
      <c r="C10" s="62" t="s">
        <v>91</v>
      </c>
      <c r="D10" s="63" t="s">
        <v>92</v>
      </c>
      <c r="E10" s="56" t="s">
        <v>57</v>
      </c>
      <c r="F10" s="57">
        <v>310</v>
      </c>
      <c r="G10" s="57">
        <v>6</v>
      </c>
      <c r="H10" s="57" t="s">
        <v>12</v>
      </c>
      <c r="I10" s="59">
        <f>(VLOOKUP($C10,'February 2018'!$C$6:$L$12,7,0)+0.07)*1.025</f>
        <v>26.256399999999996</v>
      </c>
      <c r="J10" s="59">
        <f>(VLOOKUP($C10,'February 2018'!$C$6:$L$12,8,0)+0.07)*1.025</f>
        <v>27.513049999999996</v>
      </c>
      <c r="K10" s="59">
        <f>(VLOOKUP($C10,'February 2018'!$C$6:$L$12,9,0)+0.07)*1.025</f>
        <v>28.830174999999997</v>
      </c>
      <c r="L10" s="59">
        <f>(VLOOKUP($C10,'February 2018'!$C$6:$L$12,10,0)+0.07)*1.025</f>
        <v>30.210849999999997</v>
      </c>
    </row>
    <row r="11" spans="1:14" x14ac:dyDescent="0.25">
      <c r="A11" s="11" t="s">
        <v>8</v>
      </c>
      <c r="B11" s="11">
        <v>2</v>
      </c>
      <c r="C11" s="12" t="s">
        <v>9</v>
      </c>
      <c r="D11" s="66" t="s">
        <v>10</v>
      </c>
      <c r="E11" s="6" t="s">
        <v>82</v>
      </c>
      <c r="F11" s="3">
        <v>313</v>
      </c>
      <c r="G11" s="3">
        <v>6</v>
      </c>
      <c r="H11" s="3" t="s">
        <v>12</v>
      </c>
      <c r="I11" s="50">
        <f>(VLOOKUP($C11,'February 2018'!$C$6:$L$12,7,0)+0.07)*1.025</f>
        <v>25.618733631393795</v>
      </c>
      <c r="J11" s="50">
        <f>(VLOOKUP($C11,'February 2018'!$C$6:$L$12,8,0)+0.07)*1.025</f>
        <v>26.917692328045653</v>
      </c>
      <c r="K11" s="50">
        <f>(VLOOKUP($C11,'February 2018'!$C$6:$L$12,9,0)+0.07)*1.025</f>
        <v>28.24769231708073</v>
      </c>
      <c r="L11" s="50">
        <f>(VLOOKUP($C11,'February 2018'!$C$6:$L$12,10,0)+0.07)*1.025</f>
        <v>29.646938266047624</v>
      </c>
    </row>
    <row r="12" spans="1:14" x14ac:dyDescent="0.25">
      <c r="A12" s="11" t="s">
        <v>8</v>
      </c>
      <c r="B12" s="11">
        <v>2</v>
      </c>
      <c r="C12" s="12" t="s">
        <v>17</v>
      </c>
      <c r="D12" s="66" t="s">
        <v>18</v>
      </c>
      <c r="E12" s="6" t="s">
        <v>83</v>
      </c>
      <c r="F12" s="3">
        <v>268</v>
      </c>
      <c r="G12" s="3">
        <v>5</v>
      </c>
      <c r="H12" s="3" t="s">
        <v>12</v>
      </c>
      <c r="I12" s="50">
        <f>(VLOOKUP($C12,'February 2018'!$C$6:$L$12,7,0)+0.07)*1.025</f>
        <v>24.373500248482134</v>
      </c>
      <c r="J12" s="50">
        <f>(VLOOKUP($C12,'February 2018'!$C$6:$L$12,8,0)+0.07)*1.025</f>
        <v>25.59008013073235</v>
      </c>
      <c r="K12" s="50">
        <f>(VLOOKUP($C12,'February 2018'!$C$6:$L$12,9,0)+0.07)*1.025</f>
        <v>26.849640263974734</v>
      </c>
      <c r="L12" s="50">
        <f>(VLOOKUP($C12,'February 2018'!$C$6:$L$12,10,0)+0.07)*1.025</f>
        <v>28.192773107479642</v>
      </c>
    </row>
    <row r="13" spans="1:14" x14ac:dyDescent="0.25">
      <c r="A13" s="11" t="s">
        <v>8</v>
      </c>
      <c r="B13" s="11">
        <v>2</v>
      </c>
      <c r="C13" s="12" t="s">
        <v>20</v>
      </c>
      <c r="D13" s="66" t="s">
        <v>21</v>
      </c>
      <c r="E13" s="6" t="s">
        <v>84</v>
      </c>
      <c r="F13" s="3">
        <v>250</v>
      </c>
      <c r="G13" s="3">
        <v>5</v>
      </c>
      <c r="H13" s="3" t="s">
        <v>12</v>
      </c>
      <c r="I13" s="50">
        <f>(VLOOKUP($C13,'February 2018'!$C$6:$L$12,7,0)+0.07)*1.025</f>
        <v>24.399765957421785</v>
      </c>
      <c r="J13" s="50">
        <f>(VLOOKUP($C13,'February 2018'!$C$6:$L$12,8,0)+0.07)*1.025</f>
        <v>25.925564867643363</v>
      </c>
      <c r="K13" s="50">
        <f>(VLOOKUP($C13,'February 2018'!$C$6:$L$12,9,0)+0.07)*1.025</f>
        <v>26.625187842126802</v>
      </c>
      <c r="L13" s="50">
        <f>(VLOOKUP($C13,'February 2018'!$C$6:$L$12,10,0)+0.07)*1.025</f>
        <v>27.575528947397835</v>
      </c>
    </row>
    <row r="14" spans="1:14" x14ac:dyDescent="0.25">
      <c r="A14" s="11" t="s">
        <v>8</v>
      </c>
      <c r="B14" s="11">
        <v>2</v>
      </c>
      <c r="C14" s="12" t="s">
        <v>23</v>
      </c>
      <c r="D14" s="66" t="s">
        <v>24</v>
      </c>
      <c r="E14" s="6" t="s">
        <v>85</v>
      </c>
      <c r="F14" s="3">
        <v>285</v>
      </c>
      <c r="G14" s="3">
        <v>6</v>
      </c>
      <c r="H14" s="3" t="s">
        <v>12</v>
      </c>
      <c r="I14" s="50">
        <f>(VLOOKUP($C14,'February 2018'!$C$6:$L$12,7,0)+0.07)*1.025</f>
        <v>25.67245894513399</v>
      </c>
      <c r="J14" s="50">
        <f>(VLOOKUP($C14,'February 2018'!$C$6:$L$12,8,0)+0.07)*1.025</f>
        <v>26.82218065917419</v>
      </c>
      <c r="K14" s="50">
        <f>(VLOOKUP($C14,'February 2018'!$C$6:$L$12,9,0)+0.07)*1.025</f>
        <v>27.926534330500452</v>
      </c>
      <c r="L14" s="50">
        <f>(VLOOKUP($C14,'February 2018'!$C$6:$L$12,10,0)+0.07)*1.025</f>
        <v>29.340107029798062</v>
      </c>
    </row>
    <row r="15" spans="1:14" ht="30" customHeight="1" x14ac:dyDescent="0.25">
      <c r="A15" s="132" t="s">
        <v>94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</row>
    <row r="16" spans="1:14" x14ac:dyDescent="0.25">
      <c r="A16" s="11"/>
      <c r="B16" s="11"/>
      <c r="C16" s="12"/>
      <c r="D16" s="66"/>
      <c r="E16" s="6"/>
      <c r="F16" s="3"/>
      <c r="G16" s="3"/>
      <c r="H16" s="3"/>
      <c r="I16" s="40"/>
      <c r="J16" s="40"/>
      <c r="K16" s="40"/>
      <c r="L16" s="40"/>
    </row>
    <row r="17" spans="1:14" x14ac:dyDescent="0.25">
      <c r="A17" s="17" t="s">
        <v>26</v>
      </c>
      <c r="B17" s="2"/>
      <c r="C17" s="2"/>
      <c r="D17" s="64"/>
      <c r="E17" s="17"/>
      <c r="F17" s="2"/>
      <c r="G17" s="2"/>
      <c r="H17" s="2"/>
      <c r="I17" s="2"/>
      <c r="J17" s="2"/>
      <c r="K17" s="2"/>
      <c r="L17" s="2"/>
    </row>
    <row r="18" spans="1:14" x14ac:dyDescent="0.25">
      <c r="A18" s="18" t="s">
        <v>27</v>
      </c>
      <c r="B18" s="19"/>
      <c r="C18" s="19"/>
      <c r="D18" s="67"/>
      <c r="E18" s="19"/>
      <c r="F18" s="19"/>
      <c r="G18" s="19"/>
      <c r="H18" s="19"/>
      <c r="I18"/>
      <c r="J18"/>
      <c r="K18"/>
      <c r="L18"/>
    </row>
    <row r="19" spans="1:14" x14ac:dyDescent="0.25">
      <c r="A19" s="18" t="s">
        <v>28</v>
      </c>
      <c r="B19" s="19"/>
      <c r="C19" s="19"/>
      <c r="D19" s="67"/>
      <c r="E19" s="19"/>
      <c r="F19" s="19"/>
      <c r="G19" s="19"/>
      <c r="H19" s="19"/>
      <c r="I19"/>
      <c r="J19"/>
      <c r="K19" s="41"/>
      <c r="L19"/>
    </row>
    <row r="20" spans="1:14" x14ac:dyDescent="0.25">
      <c r="A20" s="20">
        <f>'February 2018'!A17*1.025</f>
        <v>0.31160681969313864</v>
      </c>
      <c r="C20" s="18" t="s">
        <v>29</v>
      </c>
      <c r="D20" s="68"/>
      <c r="E20" s="19"/>
      <c r="F20" s="19"/>
      <c r="G20" s="19"/>
      <c r="H20" s="21"/>
      <c r="I20" s="21"/>
      <c r="J20" s="16"/>
      <c r="K20" s="21"/>
      <c r="L20" s="49"/>
      <c r="N20" s="77">
        <f>A20</f>
        <v>0.31160681969313864</v>
      </c>
    </row>
    <row r="21" spans="1:14" x14ac:dyDescent="0.25">
      <c r="A21" s="20">
        <f>'February 2018'!A18*1.025</f>
        <v>0.43577198922603683</v>
      </c>
      <c r="C21" s="18" t="s">
        <v>30</v>
      </c>
      <c r="D21" s="68"/>
      <c r="E21" s="19"/>
      <c r="F21" s="19"/>
      <c r="G21" s="19"/>
      <c r="H21" s="21"/>
      <c r="I21" s="21"/>
      <c r="J21" s="16"/>
      <c r="K21" s="21"/>
      <c r="L21" s="49"/>
      <c r="N21" s="77">
        <f t="shared" ref="N21:N23" si="0">A21</f>
        <v>0.43577198922603683</v>
      </c>
    </row>
    <row r="22" spans="1:14" x14ac:dyDescent="0.25">
      <c r="A22" s="20">
        <f>'February 2018'!A19*1.025</f>
        <v>0.52770197051481704</v>
      </c>
      <c r="C22" s="18" t="s">
        <v>31</v>
      </c>
      <c r="D22" s="68"/>
      <c r="E22" s="19"/>
      <c r="F22" s="19"/>
      <c r="G22" s="19"/>
      <c r="H22" s="21"/>
      <c r="I22" s="21"/>
      <c r="J22" s="16"/>
      <c r="K22" s="2"/>
      <c r="L22" s="49"/>
      <c r="N22" s="77">
        <f t="shared" si="0"/>
        <v>0.52770197051481704</v>
      </c>
    </row>
    <row r="23" spans="1:14" x14ac:dyDescent="0.25">
      <c r="A23" s="20">
        <f>'February 2018'!A20*1.025</f>
        <v>0.61963195180359742</v>
      </c>
      <c r="C23" s="18" t="s">
        <v>32</v>
      </c>
      <c r="D23" s="67"/>
      <c r="E23" s="19"/>
      <c r="F23" s="19"/>
      <c r="G23" s="19"/>
      <c r="H23" s="21"/>
      <c r="I23" s="21"/>
      <c r="J23" s="16"/>
      <c r="K23" s="21"/>
      <c r="L23" s="49"/>
      <c r="N23" s="77">
        <f t="shared" si="0"/>
        <v>0.61963195180359742</v>
      </c>
    </row>
    <row r="24" spans="1:14" x14ac:dyDescent="0.25">
      <c r="A24" s="17"/>
      <c r="B24" s="2"/>
      <c r="C24" s="2"/>
      <c r="D24" s="64"/>
      <c r="E24" s="17"/>
      <c r="F24" s="2"/>
      <c r="G24" s="2"/>
      <c r="H24" s="2"/>
      <c r="J24" s="2"/>
      <c r="K24" s="2"/>
      <c r="L24" s="2"/>
    </row>
    <row r="25" spans="1:14" x14ac:dyDescent="0.25">
      <c r="A25" s="23" t="s">
        <v>33</v>
      </c>
      <c r="B25" s="21"/>
      <c r="C25" s="21"/>
      <c r="D25" s="69"/>
      <c r="E25" s="21"/>
      <c r="F25" s="21"/>
      <c r="G25" s="21"/>
      <c r="H25" s="21"/>
      <c r="I25" s="21"/>
      <c r="J25" s="21"/>
      <c r="K25" s="21"/>
      <c r="L25" s="21"/>
    </row>
    <row r="26" spans="1:14" x14ac:dyDescent="0.25">
      <c r="A26" s="18" t="s">
        <v>58</v>
      </c>
      <c r="B26" s="19"/>
      <c r="C26" s="19"/>
      <c r="D26" s="67"/>
      <c r="E26" s="19"/>
      <c r="F26" s="19"/>
      <c r="G26" s="19"/>
      <c r="H26" s="19"/>
      <c r="I26" s="21"/>
      <c r="J26" s="21"/>
      <c r="K26" s="21"/>
      <c r="L26" s="21"/>
    </row>
    <row r="27" spans="1:14" x14ac:dyDescent="0.25">
      <c r="A27" s="18" t="s">
        <v>105</v>
      </c>
      <c r="B27" s="19"/>
      <c r="C27" s="19"/>
      <c r="D27" s="67"/>
      <c r="E27" s="19"/>
      <c r="F27" s="74">
        <f>N27</f>
        <v>7.0000000000000007E-2</v>
      </c>
      <c r="G27" s="19" t="s">
        <v>106</v>
      </c>
      <c r="H27" s="19"/>
      <c r="I27" s="21"/>
      <c r="J27" s="21"/>
      <c r="K27" s="21"/>
      <c r="L27" s="21"/>
      <c r="N27" s="77">
        <v>7.0000000000000007E-2</v>
      </c>
    </row>
    <row r="28" spans="1:14" x14ac:dyDescent="0.25">
      <c r="A28" s="18"/>
      <c r="B28" s="19"/>
      <c r="C28" s="19"/>
      <c r="D28" s="67"/>
      <c r="E28" s="19"/>
      <c r="F28" s="19"/>
      <c r="G28" s="19"/>
      <c r="H28" s="19"/>
      <c r="I28" s="21"/>
      <c r="J28" s="21"/>
      <c r="K28" s="21"/>
      <c r="L28" s="21"/>
    </row>
    <row r="29" spans="1:14" x14ac:dyDescent="0.25">
      <c r="A29" s="24" t="s">
        <v>37</v>
      </c>
      <c r="B29" s="21"/>
      <c r="C29" s="21"/>
      <c r="D29" s="69"/>
      <c r="E29" s="21"/>
      <c r="F29" s="21"/>
      <c r="G29" s="21"/>
      <c r="H29" s="21"/>
      <c r="I29" s="21"/>
      <c r="J29" s="21"/>
      <c r="K29" s="21"/>
      <c r="L29" s="21"/>
    </row>
    <row r="30" spans="1:14" x14ac:dyDescent="0.25">
      <c r="A30" s="24" t="s">
        <v>38</v>
      </c>
      <c r="B30" s="21"/>
      <c r="C30" s="21"/>
      <c r="D30" s="69"/>
      <c r="E30" s="21"/>
      <c r="F30" s="21"/>
      <c r="G30" s="21"/>
      <c r="H30" s="21"/>
      <c r="I30" s="21"/>
      <c r="J30" s="21"/>
      <c r="K30" s="21"/>
      <c r="L30" s="21"/>
    </row>
    <row r="31" spans="1:14" x14ac:dyDescent="0.25">
      <c r="A31" s="22">
        <v>0.34244427619767404</v>
      </c>
      <c r="C31" s="18" t="s">
        <v>59</v>
      </c>
      <c r="D31" s="67"/>
      <c r="E31" s="6"/>
      <c r="F31" s="19"/>
      <c r="G31" s="19"/>
      <c r="H31" s="19"/>
      <c r="I31" s="19"/>
      <c r="J31" s="19"/>
      <c r="K31" s="21"/>
      <c r="L31" s="49"/>
      <c r="N31" s="77">
        <f>A31</f>
        <v>0.34244427619767404</v>
      </c>
    </row>
    <row r="32" spans="1:14" x14ac:dyDescent="0.25">
      <c r="A32" s="22">
        <v>0.34244427619767404</v>
      </c>
      <c r="C32" s="18" t="s">
        <v>40</v>
      </c>
      <c r="D32" s="67"/>
      <c r="E32" s="6"/>
      <c r="F32" s="19"/>
      <c r="G32" s="19"/>
      <c r="H32" s="19"/>
      <c r="I32" s="19"/>
      <c r="J32" s="19"/>
      <c r="K32" s="21"/>
      <c r="L32" s="49"/>
      <c r="N32" s="77">
        <f t="shared" ref="N32:N35" si="1">A32</f>
        <v>0.34244427619767404</v>
      </c>
    </row>
    <row r="33" spans="1:14" x14ac:dyDescent="0.25">
      <c r="A33" s="22">
        <v>0.82466172635358237</v>
      </c>
      <c r="C33" s="18" t="s">
        <v>41</v>
      </c>
      <c r="D33" s="67"/>
      <c r="E33" s="6"/>
      <c r="F33" s="19"/>
      <c r="G33" s="19"/>
      <c r="H33" s="19"/>
      <c r="I33" s="19"/>
      <c r="J33" s="19"/>
      <c r="K33" s="21"/>
      <c r="L33" s="49"/>
      <c r="N33" s="77">
        <f t="shared" si="1"/>
        <v>0.82466172635358237</v>
      </c>
    </row>
    <row r="34" spans="1:14" x14ac:dyDescent="0.25">
      <c r="A34" s="22">
        <v>0.38554100483479636</v>
      </c>
      <c r="C34" s="6" t="s">
        <v>42</v>
      </c>
      <c r="D34" s="68"/>
      <c r="E34" s="6"/>
      <c r="F34" s="6"/>
      <c r="G34" s="6"/>
      <c r="H34" s="6"/>
      <c r="I34" s="6"/>
      <c r="J34" s="6"/>
      <c r="K34" s="6"/>
      <c r="L34" s="49"/>
      <c r="N34" s="77">
        <f t="shared" si="1"/>
        <v>0.38554100483479636</v>
      </c>
    </row>
    <row r="35" spans="1:14" x14ac:dyDescent="0.25">
      <c r="A35" s="22">
        <v>1.1263388268134382</v>
      </c>
      <c r="C35" s="6" t="s">
        <v>43</v>
      </c>
      <c r="D35" s="68"/>
      <c r="E35" s="6"/>
      <c r="F35" s="6"/>
      <c r="G35" s="6"/>
      <c r="H35" s="6"/>
      <c r="I35" s="6"/>
      <c r="J35" s="6"/>
      <c r="K35" s="6"/>
      <c r="L35" s="49"/>
      <c r="N35" s="77">
        <f t="shared" si="1"/>
        <v>1.1263388268134382</v>
      </c>
    </row>
    <row r="37" spans="1:14" s="26" customFormat="1" x14ac:dyDescent="0.25">
      <c r="A37" s="26" t="s">
        <v>60</v>
      </c>
      <c r="D37" s="70"/>
      <c r="N37" s="78"/>
    </row>
    <row r="38" spans="1:14" x14ac:dyDescent="0.25">
      <c r="A38" s="26" t="s">
        <v>45</v>
      </c>
    </row>
    <row r="39" spans="1:14" x14ac:dyDescent="0.25">
      <c r="A39" s="54">
        <v>0.54787467187499994</v>
      </c>
      <c r="C39" s="4" t="s">
        <v>61</v>
      </c>
      <c r="L39" s="21"/>
      <c r="N39" s="79">
        <f>A39</f>
        <v>0.54787467187499994</v>
      </c>
    </row>
    <row r="40" spans="1:14" x14ac:dyDescent="0.25">
      <c r="A40" s="54">
        <v>0.82718332812499973</v>
      </c>
      <c r="C40" s="4" t="s">
        <v>48</v>
      </c>
      <c r="L40" s="21"/>
      <c r="N40" s="79">
        <f t="shared" ref="N40:N41" si="2">A40</f>
        <v>0.82718332812499973</v>
      </c>
    </row>
    <row r="41" spans="1:14" x14ac:dyDescent="0.25">
      <c r="A41" s="54">
        <v>1.1064919843749998</v>
      </c>
      <c r="C41" s="4" t="s">
        <v>49</v>
      </c>
      <c r="L41" s="21"/>
      <c r="N41" s="79">
        <f t="shared" si="2"/>
        <v>1.1064919843749998</v>
      </c>
    </row>
    <row r="43" spans="1:14" x14ac:dyDescent="0.25">
      <c r="A43" s="24" t="s">
        <v>50</v>
      </c>
      <c r="B43" s="27"/>
      <c r="C43" s="27"/>
      <c r="D43" s="72"/>
      <c r="E43" s="29"/>
      <c r="F43" s="29"/>
      <c r="G43" s="29"/>
      <c r="H43" s="29"/>
      <c r="I43" s="29"/>
      <c r="J43" s="29"/>
      <c r="K43" s="29"/>
      <c r="L43" s="29"/>
    </row>
    <row r="44" spans="1:14" x14ac:dyDescent="0.25">
      <c r="A44" s="30" t="s">
        <v>51</v>
      </c>
      <c r="B44" s="31"/>
      <c r="C44" s="31"/>
      <c r="D44" s="73"/>
      <c r="E44" s="33"/>
      <c r="F44" s="33"/>
      <c r="G44" s="33"/>
      <c r="H44" s="33"/>
      <c r="I44" s="33"/>
      <c r="J44" s="29"/>
      <c r="K44" s="29"/>
      <c r="L44" s="29"/>
    </row>
    <row r="45" spans="1:14" x14ac:dyDescent="0.25">
      <c r="A45" s="22">
        <v>0.564916578081197</v>
      </c>
      <c r="C45" s="18" t="s">
        <v>52</v>
      </c>
      <c r="D45" s="73"/>
      <c r="E45" s="33"/>
      <c r="F45" s="35"/>
      <c r="G45" s="35"/>
      <c r="H45" s="35"/>
      <c r="K45" s="33"/>
      <c r="L45" s="33"/>
      <c r="N45" s="77">
        <f>A45</f>
        <v>0.564916578081197</v>
      </c>
    </row>
    <row r="46" spans="1:14" x14ac:dyDescent="0.25">
      <c r="A46" s="36"/>
      <c r="C46" s="37" t="s">
        <v>53</v>
      </c>
      <c r="D46" s="73"/>
      <c r="E46" s="33"/>
      <c r="F46" s="35"/>
      <c r="G46" s="35"/>
      <c r="H46" s="35"/>
      <c r="I46" s="33"/>
      <c r="J46" s="33"/>
      <c r="K46" s="33"/>
      <c r="L46" s="33"/>
    </row>
    <row r="47" spans="1:14" x14ac:dyDescent="0.25">
      <c r="A47" s="34"/>
      <c r="B47" s="36"/>
      <c r="C47" s="34"/>
      <c r="D47" s="73"/>
      <c r="E47" s="33"/>
      <c r="F47" s="35"/>
      <c r="G47" s="35"/>
      <c r="H47" s="35"/>
      <c r="I47" s="38"/>
      <c r="J47" s="39"/>
      <c r="K47" s="33"/>
      <c r="L47" s="33"/>
    </row>
    <row r="48" spans="1:14" x14ac:dyDescent="0.25">
      <c r="A48" s="30" t="s">
        <v>54</v>
      </c>
      <c r="B48" s="31"/>
      <c r="C48" s="31"/>
      <c r="D48" s="73"/>
      <c r="E48" s="33"/>
      <c r="F48" s="35"/>
      <c r="G48" s="35"/>
      <c r="H48" s="35"/>
      <c r="I48" s="33"/>
      <c r="J48" s="33"/>
      <c r="K48" s="33"/>
      <c r="L48" s="33"/>
    </row>
    <row r="49" spans="1:14" x14ac:dyDescent="0.25">
      <c r="A49" s="22">
        <v>1.1915663079939476</v>
      </c>
      <c r="C49" s="18" t="s">
        <v>55</v>
      </c>
      <c r="D49" s="73"/>
      <c r="E49" s="29"/>
      <c r="F49" s="29"/>
      <c r="G49" s="35"/>
      <c r="H49" s="35"/>
      <c r="L49" s="33"/>
      <c r="N49" s="77">
        <f>A49</f>
        <v>1.1915663079939476</v>
      </c>
    </row>
    <row r="50" spans="1:14" x14ac:dyDescent="0.25">
      <c r="A50" s="36"/>
      <c r="C50" s="37" t="s">
        <v>53</v>
      </c>
      <c r="D50" s="73"/>
      <c r="E50" s="33"/>
      <c r="F50" s="35"/>
      <c r="G50" s="35"/>
      <c r="H50" s="35"/>
      <c r="I50" s="33"/>
      <c r="J50" s="33"/>
      <c r="K50" s="33"/>
      <c r="L50" s="33"/>
    </row>
  </sheetData>
  <mergeCells count="1">
    <mergeCell ref="A15:L15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A1EAA-4821-41E1-8482-3999C75C70AE}">
  <dimension ref="A1:P49"/>
  <sheetViews>
    <sheetView showGridLines="0" topLeftCell="B42" workbookViewId="0">
      <selection activeCell="B19" sqref="B19"/>
    </sheetView>
  </sheetViews>
  <sheetFormatPr defaultColWidth="9.140625" defaultRowHeight="15" x14ac:dyDescent="0.25"/>
  <cols>
    <col min="1" max="1" width="0" style="4" hidden="1" customWidth="1"/>
    <col min="2" max="2" width="9.7109375" style="4" customWidth="1"/>
    <col min="3" max="3" width="9.7109375" style="4" hidden="1" customWidth="1"/>
    <col min="4" max="4" width="9.7109375" style="4" customWidth="1"/>
    <col min="5" max="5" width="7.140625" style="71" customWidth="1"/>
    <col min="6" max="6" width="42.5703125" style="4" customWidth="1"/>
    <col min="7" max="7" width="6.5703125" style="4" bestFit="1" customWidth="1"/>
    <col min="8" max="8" width="7.7109375" style="4" bestFit="1" customWidth="1"/>
    <col min="9" max="9" width="7.42578125" style="4" customWidth="1"/>
    <col min="10" max="12" width="8" style="4" customWidth="1"/>
    <col min="13" max="13" width="8.42578125" style="4" bestFit="1" customWidth="1"/>
    <col min="14" max="14" width="9.140625" style="4"/>
    <col min="15" max="15" width="15.7109375" style="75" bestFit="1" customWidth="1"/>
    <col min="16" max="16" width="6" style="75" bestFit="1" customWidth="1"/>
    <col min="17" max="16384" width="9.140625" style="4"/>
  </cols>
  <sheetData>
    <row r="1" spans="2:16" ht="18.75" x14ac:dyDescent="0.3">
      <c r="B1" s="1" t="s">
        <v>88</v>
      </c>
      <c r="C1" s="2"/>
      <c r="D1" s="2"/>
      <c r="E1" s="64"/>
      <c r="F1" s="2"/>
      <c r="G1" s="2"/>
      <c r="H1" s="3"/>
      <c r="I1" s="3"/>
      <c r="J1" s="3"/>
      <c r="O1" s="75" t="s">
        <v>103</v>
      </c>
      <c r="P1" s="75">
        <v>1.0249999999999999</v>
      </c>
    </row>
    <row r="2" spans="2:16" x14ac:dyDescent="0.25">
      <c r="B2" s="5" t="s">
        <v>102</v>
      </c>
      <c r="C2" s="2"/>
      <c r="D2" s="2"/>
      <c r="E2" s="64"/>
      <c r="F2" s="2"/>
      <c r="G2" s="2"/>
      <c r="H2" s="3"/>
      <c r="I2" s="3"/>
      <c r="J2" s="3"/>
      <c r="O2" s="75" t="s">
        <v>104</v>
      </c>
      <c r="P2" s="75">
        <v>1.1499999999999999</v>
      </c>
    </row>
    <row r="3" spans="2:16" x14ac:dyDescent="0.25">
      <c r="B3" s="5" t="s">
        <v>74</v>
      </c>
      <c r="C3" s="2"/>
      <c r="D3" s="2"/>
      <c r="E3" s="64"/>
      <c r="F3" s="2"/>
      <c r="G3" s="2"/>
      <c r="H3" s="3"/>
      <c r="I3" s="3"/>
      <c r="J3" s="3"/>
      <c r="O3" s="75" t="s">
        <v>109</v>
      </c>
      <c r="P3" s="75">
        <v>1.0249999999999999</v>
      </c>
    </row>
    <row r="4" spans="2:16" x14ac:dyDescent="0.25">
      <c r="C4" s="2"/>
      <c r="D4" s="2"/>
      <c r="E4" s="64"/>
      <c r="F4" s="2"/>
      <c r="G4" s="2"/>
      <c r="H4" s="3"/>
      <c r="I4" s="3"/>
      <c r="J4" s="3"/>
    </row>
    <row r="5" spans="2:16" s="10" customFormat="1" ht="66" customHeight="1" x14ac:dyDescent="0.25">
      <c r="B5" s="7" t="s">
        <v>1</v>
      </c>
      <c r="C5" s="7" t="s">
        <v>70</v>
      </c>
      <c r="D5" s="7" t="s">
        <v>71</v>
      </c>
      <c r="E5" s="65" t="s">
        <v>86</v>
      </c>
      <c r="F5" s="8" t="s">
        <v>63</v>
      </c>
      <c r="G5" s="7" t="s">
        <v>3</v>
      </c>
      <c r="H5" s="42" t="s">
        <v>72</v>
      </c>
      <c r="I5" s="7" t="s">
        <v>69</v>
      </c>
      <c r="J5" s="7" t="s">
        <v>4</v>
      </c>
      <c r="K5" s="7" t="s">
        <v>5</v>
      </c>
      <c r="L5" s="7" t="s">
        <v>6</v>
      </c>
      <c r="M5" s="7" t="s">
        <v>7</v>
      </c>
      <c r="O5" s="76"/>
      <c r="P5" s="76"/>
    </row>
    <row r="6" spans="2:16" x14ac:dyDescent="0.25">
      <c r="B6" s="11" t="s">
        <v>8</v>
      </c>
      <c r="C6" s="11"/>
      <c r="D6" s="12" t="s">
        <v>96</v>
      </c>
      <c r="E6" s="66" t="s">
        <v>97</v>
      </c>
      <c r="F6" s="6" t="s">
        <v>98</v>
      </c>
      <c r="G6" s="3">
        <v>330</v>
      </c>
      <c r="H6" s="3">
        <v>7</v>
      </c>
      <c r="I6" s="3" t="s">
        <v>12</v>
      </c>
      <c r="J6" s="50">
        <f>ROUND(VLOOKUP($D6,'October 2019'!$C$6:$L$14,7,0)*BaseIncrPerc2020,3)</f>
        <v>29.202000000000002</v>
      </c>
      <c r="K6" s="50">
        <f>ROUND(VLOOKUP($D6,'October 2019'!$C$6:$L$14,8,0)*BaseIncrPerc2020,3)</f>
        <v>30.596</v>
      </c>
      <c r="L6" s="50">
        <f>ROUND(VLOOKUP($D6,'October 2019'!$C$6:$L$14,9,0)*BaseIncrPerc2020,3)</f>
        <v>32.061999999999998</v>
      </c>
      <c r="M6" s="50">
        <f>ROUND(VLOOKUP($D6,'October 2019'!$C$6:$L$14,10,0)*BaseIncrPerc2020,3)</f>
        <v>33.6</v>
      </c>
      <c r="N6" s="58"/>
    </row>
    <row r="7" spans="2:16" x14ac:dyDescent="0.25">
      <c r="B7" s="11" t="s">
        <v>8</v>
      </c>
      <c r="C7" s="11"/>
      <c r="D7" s="60" t="s">
        <v>75</v>
      </c>
      <c r="E7" s="66" t="s">
        <v>113</v>
      </c>
      <c r="F7" s="6" t="s">
        <v>87</v>
      </c>
      <c r="G7" s="3"/>
      <c r="H7" s="3" t="s">
        <v>76</v>
      </c>
      <c r="I7" s="3" t="s">
        <v>12</v>
      </c>
      <c r="J7" s="50">
        <f>ROUND(VLOOKUP($D7,'October 2019'!$C$6:$L$14,7,0)*BaseIncrPerc2020,3)</f>
        <v>18.603999999999999</v>
      </c>
      <c r="K7" s="40"/>
      <c r="L7" s="40"/>
      <c r="M7" s="40"/>
    </row>
    <row r="8" spans="2:16" x14ac:dyDescent="0.25">
      <c r="B8" s="11" t="s">
        <v>8</v>
      </c>
      <c r="C8" s="11">
        <v>2</v>
      </c>
      <c r="D8" s="80" t="s">
        <v>90</v>
      </c>
      <c r="E8" s="61" t="s">
        <v>21</v>
      </c>
      <c r="F8" s="6" t="s">
        <v>56</v>
      </c>
      <c r="G8" s="3">
        <v>265</v>
      </c>
      <c r="H8" s="3">
        <v>5</v>
      </c>
      <c r="I8" s="3" t="s">
        <v>12</v>
      </c>
      <c r="J8" s="50">
        <f>ROUND(VLOOKUP($D8,'October 2019'!$C$6:$L$14,7,0)*BaseIncrPerc2020,3)</f>
        <v>25.227</v>
      </c>
      <c r="K8" s="50">
        <f>ROUND(VLOOKUP($D8,'October 2019'!$C$6:$L$14,8,0)*BaseIncrPerc2020,3)</f>
        <v>26.484000000000002</v>
      </c>
      <c r="L8" s="50">
        <f>ROUND(VLOOKUP($D8,'October 2019'!$C$6:$L$14,9,0)*BaseIncrPerc2020,3)</f>
        <v>27.805</v>
      </c>
      <c r="M8" s="50">
        <f>ROUND(VLOOKUP($D8,'October 2019'!$C$6:$L$14,10,0)*BaseIncrPerc2020,3)</f>
        <v>29.192</v>
      </c>
      <c r="N8" s="58"/>
    </row>
    <row r="9" spans="2:16" x14ac:dyDescent="0.25">
      <c r="B9" s="55" t="s">
        <v>8</v>
      </c>
      <c r="C9" s="55">
        <v>2</v>
      </c>
      <c r="D9" s="81" t="s">
        <v>91</v>
      </c>
      <c r="E9" s="63" t="s">
        <v>92</v>
      </c>
      <c r="F9" s="56" t="s">
        <v>57</v>
      </c>
      <c r="G9" s="57">
        <v>310</v>
      </c>
      <c r="H9" s="57">
        <v>6</v>
      </c>
      <c r="I9" s="57" t="s">
        <v>12</v>
      </c>
      <c r="J9" s="59">
        <f>ROUND(VLOOKUP($D9,'October 2019'!$C$6:$L$14,7,0)*BaseIncrPerc2020,3)</f>
        <v>26.913</v>
      </c>
      <c r="K9" s="59">
        <f>ROUND(VLOOKUP($D9,'October 2019'!$C$6:$L$14,8,0)*BaseIncrPerc2020,3)</f>
        <v>28.201000000000001</v>
      </c>
      <c r="L9" s="59">
        <f>ROUND(VLOOKUP($D9,'October 2019'!$C$6:$L$14,9,0)*BaseIncrPerc2020,3)</f>
        <v>29.550999999999998</v>
      </c>
      <c r="M9" s="59">
        <f>ROUND(VLOOKUP($D9,'October 2019'!$C$6:$L$14,10,0)*BaseIncrPerc2020,3)</f>
        <v>30.966000000000001</v>
      </c>
    </row>
    <row r="10" spans="2:16" x14ac:dyDescent="0.25">
      <c r="B10" s="11" t="s">
        <v>8</v>
      </c>
      <c r="C10" s="11">
        <v>2</v>
      </c>
      <c r="D10" s="12" t="s">
        <v>9</v>
      </c>
      <c r="E10" s="66" t="s">
        <v>14</v>
      </c>
      <c r="F10" s="6" t="s">
        <v>82</v>
      </c>
      <c r="G10" s="3">
        <v>313</v>
      </c>
      <c r="H10" s="3">
        <v>6</v>
      </c>
      <c r="I10" s="3" t="s">
        <v>12</v>
      </c>
      <c r="J10" s="50">
        <f>ROUND(VLOOKUP($D10,'October 2019'!$C$6:$L$14,7,0),3)</f>
        <v>25.619</v>
      </c>
      <c r="K10" s="50">
        <f>ROUND(VLOOKUP($D10,'October 2019'!$C$6:$L$14,8,0),3)</f>
        <v>26.917999999999999</v>
      </c>
      <c r="L10" s="50">
        <f>ROUND(VLOOKUP($D10,'October 2019'!$C$6:$L$14,9,0),3)</f>
        <v>28.248000000000001</v>
      </c>
      <c r="M10" s="50">
        <f>ROUND(VLOOKUP($D10,'October 2019'!$C$6:$L$14,10,0),3)</f>
        <v>29.646999999999998</v>
      </c>
    </row>
    <row r="11" spans="2:16" x14ac:dyDescent="0.25">
      <c r="B11" s="11" t="s">
        <v>8</v>
      </c>
      <c r="C11" s="11">
        <v>2</v>
      </c>
      <c r="D11" s="12" t="s">
        <v>17</v>
      </c>
      <c r="E11" s="66" t="s">
        <v>18</v>
      </c>
      <c r="F11" s="6" t="s">
        <v>83</v>
      </c>
      <c r="G11" s="3">
        <v>268</v>
      </c>
      <c r="H11" s="3">
        <v>5</v>
      </c>
      <c r="I11" s="3" t="s">
        <v>12</v>
      </c>
      <c r="J11" s="50">
        <f>ROUND(VLOOKUP($D11,'October 2019'!$C$6:$L$14,7,0),3)</f>
        <v>24.373999999999999</v>
      </c>
      <c r="K11" s="50">
        <f>ROUND(VLOOKUP($D11,'October 2019'!$C$6:$L$14,8,0),3)</f>
        <v>25.59</v>
      </c>
      <c r="L11" s="50">
        <f>ROUND(VLOOKUP($D11,'October 2019'!$C$6:$L$14,9,0),3)</f>
        <v>26.85</v>
      </c>
      <c r="M11" s="50">
        <f>ROUND(VLOOKUP($D11,'October 2019'!$C$6:$L$14,10,0),3)</f>
        <v>28.193000000000001</v>
      </c>
    </row>
    <row r="12" spans="2:16" x14ac:dyDescent="0.25">
      <c r="B12" s="11" t="s">
        <v>8</v>
      </c>
      <c r="C12" s="11">
        <v>2</v>
      </c>
      <c r="D12" s="12" t="s">
        <v>20</v>
      </c>
      <c r="E12" s="66" t="s">
        <v>10</v>
      </c>
      <c r="F12" s="6" t="s">
        <v>84</v>
      </c>
      <c r="G12" s="3">
        <v>250</v>
      </c>
      <c r="H12" s="3">
        <v>5</v>
      </c>
      <c r="I12" s="3" t="s">
        <v>12</v>
      </c>
      <c r="J12" s="50">
        <f>ROUND(VLOOKUP($D12,'October 2019'!$C$6:$L$14,7,0),3)</f>
        <v>24.4</v>
      </c>
      <c r="K12" s="50">
        <f>ROUND(VLOOKUP($D12,'October 2019'!$C$6:$L$14,8,0),3)</f>
        <v>25.925999999999998</v>
      </c>
      <c r="L12" s="50">
        <f>ROUND(VLOOKUP($D12,'October 2019'!$C$6:$L$14,9,0),3)</f>
        <v>26.625</v>
      </c>
      <c r="M12" s="50">
        <f>ROUND(VLOOKUP($D12,'October 2019'!$C$6:$L$14,10,0),3)</f>
        <v>27.576000000000001</v>
      </c>
    </row>
    <row r="13" spans="2:16" x14ac:dyDescent="0.25">
      <c r="B13" s="11" t="s">
        <v>8</v>
      </c>
      <c r="C13" s="11">
        <v>2</v>
      </c>
      <c r="D13" s="12" t="s">
        <v>23</v>
      </c>
      <c r="E13" s="66" t="s">
        <v>24</v>
      </c>
      <c r="F13" s="6" t="s">
        <v>85</v>
      </c>
      <c r="G13" s="3">
        <v>285</v>
      </c>
      <c r="H13" s="3">
        <v>6</v>
      </c>
      <c r="I13" s="3" t="s">
        <v>12</v>
      </c>
      <c r="J13" s="50">
        <f>ROUND(VLOOKUP($D13,'October 2019'!$C$6:$L$14,7,0),3)</f>
        <v>25.672000000000001</v>
      </c>
      <c r="K13" s="50">
        <f>ROUND(VLOOKUP($D13,'October 2019'!$C$6:$L$14,8,0),3)</f>
        <v>26.821999999999999</v>
      </c>
      <c r="L13" s="50">
        <f>ROUND(VLOOKUP($D13,'October 2019'!$C$6:$L$14,9,0),3)</f>
        <v>27.927</v>
      </c>
      <c r="M13" s="50">
        <f>ROUND(VLOOKUP($D13,'October 2019'!$C$6:$L$14,10,0),3)</f>
        <v>29.34</v>
      </c>
    </row>
    <row r="14" spans="2:16" ht="30" customHeight="1" x14ac:dyDescent="0.25">
      <c r="B14" s="132" t="s">
        <v>94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</row>
    <row r="15" spans="2:16" x14ac:dyDescent="0.25">
      <c r="B15" s="11"/>
      <c r="C15" s="11"/>
      <c r="D15" s="12"/>
      <c r="E15" s="66"/>
      <c r="F15" s="6"/>
      <c r="G15" s="3"/>
      <c r="H15" s="3"/>
      <c r="I15" s="3"/>
      <c r="J15" s="40"/>
      <c r="K15" s="40"/>
      <c r="L15" s="40"/>
      <c r="M15" s="40"/>
    </row>
    <row r="16" spans="2:16" x14ac:dyDescent="0.25">
      <c r="B16" s="17" t="s">
        <v>26</v>
      </c>
      <c r="C16" s="2"/>
      <c r="D16" s="2"/>
      <c r="E16" s="64"/>
      <c r="F16" s="17"/>
      <c r="G16" s="2"/>
      <c r="H16" s="2"/>
      <c r="I16" s="2"/>
      <c r="J16" s="2"/>
      <c r="K16" s="2"/>
      <c r="L16" s="2"/>
      <c r="M16" s="2"/>
    </row>
    <row r="17" spans="1:15" x14ac:dyDescent="0.25">
      <c r="B17" s="18" t="s">
        <v>27</v>
      </c>
      <c r="C17" s="19"/>
      <c r="D17" s="19"/>
      <c r="E17" s="67"/>
      <c r="F17" s="19"/>
      <c r="G17" s="19"/>
      <c r="H17" s="19"/>
      <c r="I17" s="19"/>
      <c r="J17" s="80"/>
      <c r="K17" s="80"/>
      <c r="L17" s="80"/>
      <c r="M17" s="80"/>
    </row>
    <row r="18" spans="1:15" x14ac:dyDescent="0.25">
      <c r="B18" s="18" t="s">
        <v>28</v>
      </c>
      <c r="C18" s="19"/>
      <c r="D18" s="19"/>
      <c r="E18" s="67"/>
      <c r="F18" s="19"/>
      <c r="G18" s="19"/>
      <c r="H18" s="19"/>
      <c r="I18" s="19"/>
      <c r="J18" s="80"/>
      <c r="K18" s="80"/>
      <c r="L18" s="82"/>
      <c r="M18" s="80"/>
    </row>
    <row r="19" spans="1:15" x14ac:dyDescent="0.25">
      <c r="B19" s="20">
        <f>O19</f>
        <v>0.31900000000000001</v>
      </c>
      <c r="D19" s="18" t="s">
        <v>29</v>
      </c>
      <c r="E19" s="68"/>
      <c r="F19" s="19"/>
      <c r="G19" s="19"/>
      <c r="H19" s="19"/>
      <c r="I19" s="21"/>
      <c r="J19" s="21"/>
      <c r="K19" s="16"/>
      <c r="L19" s="21"/>
      <c r="M19" s="49"/>
      <c r="O19" s="77">
        <f>ROUND(VLOOKUP(D19,'October 2019'!$C$20:$N$52,12,0)*BaseIncrPerc2020,3)</f>
        <v>0.31900000000000001</v>
      </c>
    </row>
    <row r="20" spans="1:15" x14ac:dyDescent="0.25">
      <c r="B20" s="20">
        <f t="shared" ref="B20:B22" si="0">O20</f>
        <v>0.44700000000000001</v>
      </c>
      <c r="D20" s="18" t="s">
        <v>30</v>
      </c>
      <c r="E20" s="68"/>
      <c r="F20" s="19"/>
      <c r="G20" s="19"/>
      <c r="H20" s="19"/>
      <c r="I20" s="21"/>
      <c r="J20" s="21"/>
      <c r="K20" s="16"/>
      <c r="L20" s="21"/>
      <c r="M20" s="49"/>
      <c r="O20" s="77">
        <f>ROUND(VLOOKUP(D20,'October 2019'!$C$20:$N$52,12,0)*BaseIncrPerc2020,3)</f>
        <v>0.44700000000000001</v>
      </c>
    </row>
    <row r="21" spans="1:15" x14ac:dyDescent="0.25">
      <c r="B21" s="20">
        <f t="shared" si="0"/>
        <v>0.54100000000000004</v>
      </c>
      <c r="D21" s="18" t="s">
        <v>31</v>
      </c>
      <c r="E21" s="68"/>
      <c r="F21" s="19"/>
      <c r="G21" s="19"/>
      <c r="H21" s="19"/>
      <c r="I21" s="21"/>
      <c r="J21" s="21"/>
      <c r="K21" s="16"/>
      <c r="L21" s="2"/>
      <c r="M21" s="49"/>
      <c r="O21" s="77">
        <f>ROUND(VLOOKUP(D21,'October 2019'!$C$20:$N$52,12,0)*BaseIncrPerc2020,3)</f>
        <v>0.54100000000000004</v>
      </c>
    </row>
    <row r="22" spans="1:15" x14ac:dyDescent="0.25">
      <c r="B22" s="20">
        <f t="shared" si="0"/>
        <v>0.63500000000000001</v>
      </c>
      <c r="D22" s="18" t="s">
        <v>32</v>
      </c>
      <c r="E22" s="67"/>
      <c r="F22" s="19"/>
      <c r="G22" s="19"/>
      <c r="H22" s="19"/>
      <c r="I22" s="21"/>
      <c r="J22" s="21"/>
      <c r="K22" s="16"/>
      <c r="L22" s="21"/>
      <c r="M22" s="49"/>
      <c r="O22" s="77">
        <f>ROUND(VLOOKUP(D22,'October 2019'!$C$20:$N$52,12,0)*BaseIncrPerc2020,3)</f>
        <v>0.63500000000000001</v>
      </c>
    </row>
    <row r="23" spans="1:15" x14ac:dyDescent="0.25">
      <c r="B23" s="17"/>
      <c r="C23" s="2"/>
      <c r="D23" s="2"/>
      <c r="E23" s="64"/>
      <c r="F23" s="17"/>
      <c r="G23" s="2"/>
      <c r="H23" s="2"/>
      <c r="I23" s="2"/>
      <c r="K23" s="2"/>
      <c r="L23" s="2"/>
      <c r="M23" s="2"/>
    </row>
    <row r="24" spans="1:15" x14ac:dyDescent="0.25">
      <c r="B24" s="23" t="s">
        <v>33</v>
      </c>
      <c r="C24" s="21"/>
      <c r="D24" s="21"/>
      <c r="E24" s="69"/>
      <c r="F24" s="21"/>
      <c r="G24" s="21"/>
      <c r="H24" s="21"/>
      <c r="I24" s="21"/>
      <c r="J24" s="21"/>
      <c r="K24" s="21"/>
      <c r="L24" s="21"/>
      <c r="M24" s="21"/>
    </row>
    <row r="25" spans="1:15" x14ac:dyDescent="0.25">
      <c r="B25" s="18" t="s">
        <v>58</v>
      </c>
      <c r="C25" s="19"/>
      <c r="D25" s="19"/>
      <c r="E25" s="67"/>
      <c r="F25" s="19"/>
      <c r="G25" s="19"/>
      <c r="H25" s="19"/>
      <c r="I25" s="19"/>
      <c r="J25" s="21"/>
      <c r="K25" s="21"/>
      <c r="L25" s="21"/>
      <c r="M25" s="21"/>
    </row>
    <row r="26" spans="1:15" x14ac:dyDescent="0.25">
      <c r="B26" s="18" t="s">
        <v>105</v>
      </c>
      <c r="C26" s="19"/>
      <c r="D26" s="19"/>
      <c r="E26" s="67"/>
      <c r="F26" s="19"/>
      <c r="G26" s="74">
        <f>O26</f>
        <v>7.0000000000000007E-2</v>
      </c>
      <c r="H26" s="19" t="s">
        <v>106</v>
      </c>
      <c r="I26" s="19"/>
      <c r="J26" s="21"/>
      <c r="K26" s="21"/>
      <c r="L26" s="21"/>
      <c r="M26" s="21"/>
      <c r="O26" s="77">
        <f>VLOOKUP(B26,'October 2019'!$A$26:$I$27,6,0)</f>
        <v>7.0000000000000007E-2</v>
      </c>
    </row>
    <row r="27" spans="1:15" x14ac:dyDescent="0.25">
      <c r="B27" s="18"/>
      <c r="C27" s="19"/>
      <c r="D27" s="19"/>
      <c r="E27" s="67"/>
      <c r="F27" s="19"/>
      <c r="G27" s="19"/>
      <c r="H27" s="19"/>
      <c r="I27" s="19"/>
      <c r="J27" s="21"/>
      <c r="K27" s="21"/>
      <c r="L27" s="21"/>
      <c r="M27" s="21"/>
    </row>
    <row r="28" spans="1:15" x14ac:dyDescent="0.25">
      <c r="B28" s="24" t="s">
        <v>37</v>
      </c>
      <c r="C28" s="21"/>
      <c r="D28" s="21"/>
      <c r="E28" s="69"/>
      <c r="F28" s="21"/>
      <c r="G28" s="21"/>
      <c r="H28" s="21"/>
      <c r="I28" s="21"/>
      <c r="J28" s="21"/>
      <c r="K28" s="21"/>
      <c r="L28" s="21"/>
      <c r="M28" s="21"/>
    </row>
    <row r="29" spans="1:15" x14ac:dyDescent="0.25">
      <c r="B29" s="24" t="s">
        <v>38</v>
      </c>
      <c r="C29" s="21"/>
      <c r="D29" s="21"/>
      <c r="E29" s="69"/>
      <c r="F29" s="21"/>
      <c r="G29" s="21"/>
      <c r="H29" s="21"/>
      <c r="I29" s="21"/>
      <c r="J29" s="21"/>
      <c r="K29" s="21"/>
      <c r="L29" s="21"/>
      <c r="M29" s="21"/>
    </row>
    <row r="30" spans="1:15" x14ac:dyDescent="0.25">
      <c r="A30" t="s">
        <v>118</v>
      </c>
      <c r="B30" s="20">
        <f t="shared" ref="B30:B34" si="1">O30</f>
        <v>0.35099999999999998</v>
      </c>
      <c r="D30" s="18" t="s">
        <v>59</v>
      </c>
      <c r="E30" s="67"/>
      <c r="F30" s="6"/>
      <c r="G30" s="19"/>
      <c r="H30" s="19"/>
      <c r="I30" s="19"/>
      <c r="J30" s="19"/>
      <c r="K30" s="19"/>
      <c r="L30" s="21"/>
      <c r="M30" s="49"/>
      <c r="O30" s="77">
        <f>ROUND(VLOOKUP(D30,'October 2019'!$C$20:$N$52,12,0)*BaseIncrPerc2020,3)</f>
        <v>0.35099999999999998</v>
      </c>
    </row>
    <row r="31" spans="1:15" x14ac:dyDescent="0.25">
      <c r="A31" s="4" t="s">
        <v>117</v>
      </c>
      <c r="B31" s="20">
        <f t="shared" si="1"/>
        <v>0.35099999999999998</v>
      </c>
      <c r="D31" s="18" t="s">
        <v>40</v>
      </c>
      <c r="E31" s="67"/>
      <c r="F31" s="6"/>
      <c r="G31" s="19"/>
      <c r="H31" s="19"/>
      <c r="I31" s="19"/>
      <c r="J31" s="19"/>
      <c r="K31" s="19"/>
      <c r="L31" s="21"/>
      <c r="M31" s="49"/>
      <c r="O31" s="77">
        <f>ROUND(VLOOKUP(D31,'October 2019'!$C$20:$N$52,12,0)*BaseIncrPerc2020,3)</f>
        <v>0.35099999999999998</v>
      </c>
    </row>
    <row r="32" spans="1:15" x14ac:dyDescent="0.25">
      <c r="A32" t="s">
        <v>119</v>
      </c>
      <c r="B32" s="20">
        <f t="shared" si="1"/>
        <v>0.84499999999999997</v>
      </c>
      <c r="D32" s="18" t="s">
        <v>41</v>
      </c>
      <c r="E32" s="67"/>
      <c r="F32" s="6"/>
      <c r="G32" s="19"/>
      <c r="H32" s="19"/>
      <c r="I32" s="19"/>
      <c r="J32" s="19"/>
      <c r="K32" s="19"/>
      <c r="L32" s="21"/>
      <c r="M32" s="49"/>
      <c r="O32" s="77">
        <f>ROUND(VLOOKUP(D32,'October 2019'!$C$20:$N$52,12,0)*BaseIncrPerc2020,3)</f>
        <v>0.84499999999999997</v>
      </c>
    </row>
    <row r="33" spans="1:16" x14ac:dyDescent="0.25">
      <c r="A33" t="s">
        <v>120</v>
      </c>
      <c r="B33" s="20">
        <f t="shared" si="1"/>
        <v>0.39500000000000002</v>
      </c>
      <c r="D33" s="6" t="s">
        <v>42</v>
      </c>
      <c r="E33" s="68"/>
      <c r="F33" s="6"/>
      <c r="G33" s="6"/>
      <c r="H33" s="6"/>
      <c r="I33" s="6"/>
      <c r="J33" s="6"/>
      <c r="K33" s="6"/>
      <c r="L33" s="6"/>
      <c r="M33" s="49"/>
      <c r="O33" s="77">
        <f>ROUND(VLOOKUP(D33,'October 2019'!$C$20:$N$52,12,0)*BaseIncrPerc2020,3)</f>
        <v>0.39500000000000002</v>
      </c>
    </row>
    <row r="34" spans="1:16" x14ac:dyDescent="0.25">
      <c r="A34" t="s">
        <v>121</v>
      </c>
      <c r="B34" s="20">
        <f t="shared" si="1"/>
        <v>1.1539999999999999</v>
      </c>
      <c r="D34" s="6" t="s">
        <v>43</v>
      </c>
      <c r="E34" s="68"/>
      <c r="F34" s="6"/>
      <c r="G34" s="6"/>
      <c r="H34" s="6"/>
      <c r="I34" s="6"/>
      <c r="J34" s="6"/>
      <c r="K34" s="6"/>
      <c r="L34" s="6"/>
      <c r="M34" s="49"/>
      <c r="O34" s="77">
        <f>ROUND(VLOOKUP(D34,'October 2019'!$C$20:$N$52,12,0)*BaseIncrPerc2020,3)</f>
        <v>1.1539999999999999</v>
      </c>
    </row>
    <row r="36" spans="1:16" s="26" customFormat="1" x14ac:dyDescent="0.25">
      <c r="B36" s="26" t="s">
        <v>60</v>
      </c>
      <c r="E36" s="70"/>
      <c r="O36" s="78"/>
      <c r="P36" s="78"/>
    </row>
    <row r="37" spans="1:16" x14ac:dyDescent="0.25">
      <c r="B37" s="26" t="s">
        <v>45</v>
      </c>
    </row>
    <row r="38" spans="1:16" x14ac:dyDescent="0.25">
      <c r="A38" t="s">
        <v>124</v>
      </c>
      <c r="B38" s="20">
        <f t="shared" ref="B38:B40" si="2">O38</f>
        <v>0.56200000000000006</v>
      </c>
      <c r="D38" s="4" t="s">
        <v>61</v>
      </c>
      <c r="M38" s="21"/>
      <c r="O38" s="77">
        <f>ROUND(VLOOKUP(D38,'October 2019'!$C$20:$N$52,12,0)*BaseIncrPerc2020,3)</f>
        <v>0.56200000000000006</v>
      </c>
    </row>
    <row r="39" spans="1:16" x14ac:dyDescent="0.25">
      <c r="A39" t="s">
        <v>123</v>
      </c>
      <c r="B39" s="20">
        <f t="shared" si="2"/>
        <v>0.84799999999999998</v>
      </c>
      <c r="D39" s="4" t="s">
        <v>48</v>
      </c>
      <c r="M39" s="21"/>
      <c r="O39" s="77">
        <f>ROUND(VLOOKUP(D39,'October 2019'!$C$20:$N$52,12,0)*BaseIncrPerc2020,3)</f>
        <v>0.84799999999999998</v>
      </c>
    </row>
    <row r="40" spans="1:16" x14ac:dyDescent="0.25">
      <c r="A40" t="s">
        <v>122</v>
      </c>
      <c r="B40" s="20">
        <f t="shared" si="2"/>
        <v>1.1339999999999999</v>
      </c>
      <c r="D40" s="4" t="s">
        <v>49</v>
      </c>
      <c r="M40" s="21"/>
      <c r="O40" s="77">
        <f>ROUND(VLOOKUP(D40,'October 2019'!$C$20:$N$52,12,0)*BaseIncrPerc2020,3)</f>
        <v>1.1339999999999999</v>
      </c>
    </row>
    <row r="42" spans="1:16" x14ac:dyDescent="0.25">
      <c r="B42" s="24" t="s">
        <v>50</v>
      </c>
      <c r="C42" s="27"/>
      <c r="D42" s="27"/>
      <c r="E42" s="72"/>
      <c r="F42" s="29"/>
      <c r="G42" s="29"/>
      <c r="H42" s="29"/>
      <c r="I42" s="29"/>
      <c r="J42" s="29"/>
      <c r="K42" s="29"/>
      <c r="L42" s="29"/>
      <c r="M42" s="29"/>
    </row>
    <row r="43" spans="1:16" x14ac:dyDescent="0.25">
      <c r="B43" s="30" t="s">
        <v>51</v>
      </c>
      <c r="C43" s="31"/>
      <c r="D43" s="31"/>
      <c r="E43" s="73"/>
      <c r="F43" s="33"/>
      <c r="G43" s="33"/>
      <c r="H43" s="33"/>
      <c r="I43" s="33"/>
      <c r="J43" s="33"/>
      <c r="K43" s="29"/>
      <c r="L43" s="29"/>
      <c r="M43" s="29"/>
    </row>
    <row r="44" spans="1:16" x14ac:dyDescent="0.25">
      <c r="A44" t="s">
        <v>125</v>
      </c>
      <c r="B44" s="22">
        <f>O44</f>
        <v>0.65</v>
      </c>
      <c r="D44" s="18" t="s">
        <v>52</v>
      </c>
      <c r="E44" s="73"/>
      <c r="F44" s="33"/>
      <c r="G44" s="35"/>
      <c r="H44" s="35"/>
      <c r="I44" s="35"/>
      <c r="L44" s="33"/>
      <c r="M44" s="33"/>
      <c r="O44" s="77">
        <f>ROUND(VLOOKUP(D44,'October 2019'!$C$20:$N$52,12,0)*ShiftIncrPerc2020,3)</f>
        <v>0.65</v>
      </c>
    </row>
    <row r="45" spans="1:16" x14ac:dyDescent="0.25">
      <c r="B45" s="36"/>
      <c r="D45" s="37" t="s">
        <v>53</v>
      </c>
      <c r="E45" s="73"/>
      <c r="F45" s="33"/>
      <c r="G45" s="35"/>
      <c r="H45" s="35"/>
      <c r="I45" s="35"/>
      <c r="J45" s="33"/>
      <c r="K45" s="33"/>
      <c r="L45" s="33"/>
      <c r="M45" s="33"/>
    </row>
    <row r="46" spans="1:16" x14ac:dyDescent="0.25">
      <c r="B46" s="34"/>
      <c r="C46" s="36"/>
      <c r="D46" s="34"/>
      <c r="E46" s="73"/>
      <c r="F46" s="33"/>
      <c r="G46" s="35"/>
      <c r="H46" s="35"/>
      <c r="I46" s="35"/>
      <c r="J46" s="38"/>
      <c r="K46" s="39"/>
      <c r="L46" s="33"/>
      <c r="M46" s="33"/>
    </row>
    <row r="47" spans="1:16" x14ac:dyDescent="0.25">
      <c r="B47" s="30" t="s">
        <v>54</v>
      </c>
      <c r="C47" s="31"/>
      <c r="D47" s="31"/>
      <c r="E47" s="73"/>
      <c r="F47" s="33"/>
      <c r="G47" s="35"/>
      <c r="H47" s="35"/>
      <c r="I47" s="35"/>
      <c r="J47" s="33"/>
      <c r="K47" s="33"/>
      <c r="L47" s="33"/>
      <c r="M47" s="33"/>
    </row>
    <row r="48" spans="1:16" x14ac:dyDescent="0.25">
      <c r="A48" s="4" t="s">
        <v>126</v>
      </c>
      <c r="B48" s="22">
        <f>O48</f>
        <v>1.2210000000000001</v>
      </c>
      <c r="D48" s="18" t="s">
        <v>151</v>
      </c>
      <c r="E48" s="73"/>
      <c r="F48" s="29"/>
      <c r="G48" s="29"/>
      <c r="H48" s="35"/>
      <c r="I48" s="35"/>
      <c r="M48" s="33"/>
      <c r="O48" s="77">
        <v>1.2210000000000001</v>
      </c>
    </row>
    <row r="49" spans="2:13" x14ac:dyDescent="0.25">
      <c r="B49" s="36"/>
      <c r="D49" s="37" t="s">
        <v>53</v>
      </c>
      <c r="E49" s="73"/>
      <c r="F49" s="33"/>
      <c r="G49" s="35"/>
      <c r="H49" s="35"/>
      <c r="I49" s="35"/>
      <c r="J49" s="33"/>
      <c r="K49" s="33"/>
      <c r="L49" s="33"/>
      <c r="M49" s="33"/>
    </row>
  </sheetData>
  <mergeCells count="1">
    <mergeCell ref="B14:M1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E9CB-831A-47F2-89B5-5AE5352EA6BE}">
  <dimension ref="A1:T49"/>
  <sheetViews>
    <sheetView showGridLines="0" topLeftCell="B1" workbookViewId="0">
      <selection activeCell="B19" sqref="B19"/>
    </sheetView>
  </sheetViews>
  <sheetFormatPr defaultColWidth="9.140625" defaultRowHeight="15" x14ac:dyDescent="0.25"/>
  <cols>
    <col min="1" max="1" width="0" style="4" hidden="1" customWidth="1"/>
    <col min="2" max="2" width="9.7109375" style="4" customWidth="1"/>
    <col min="3" max="3" width="9.7109375" style="4" hidden="1" customWidth="1"/>
    <col min="4" max="4" width="9.7109375" style="4" customWidth="1"/>
    <col min="5" max="5" width="7.140625" style="71" customWidth="1"/>
    <col min="6" max="6" width="42.5703125" style="4" customWidth="1"/>
    <col min="7" max="7" width="6.5703125" style="4" bestFit="1" customWidth="1"/>
    <col min="8" max="8" width="7.7109375" style="4" bestFit="1" customWidth="1"/>
    <col min="9" max="9" width="7.42578125" style="4" customWidth="1"/>
    <col min="10" max="12" width="8" style="4" customWidth="1"/>
    <col min="13" max="13" width="8.42578125" style="4" bestFit="1" customWidth="1"/>
    <col min="14" max="14" width="9.140625" style="4"/>
    <col min="15" max="15" width="15.7109375" style="75" bestFit="1" customWidth="1"/>
    <col min="16" max="16" width="34.140625" style="75" bestFit="1" customWidth="1"/>
    <col min="17" max="18" width="7.5703125" style="75" bestFit="1" customWidth="1"/>
    <col min="19" max="20" width="9.140625" style="75"/>
    <col min="21" max="16384" width="9.140625" style="4"/>
  </cols>
  <sheetData>
    <row r="1" spans="2:20" ht="18.75" x14ac:dyDescent="0.3">
      <c r="B1" s="1" t="s">
        <v>88</v>
      </c>
      <c r="C1" s="2"/>
      <c r="D1" s="2"/>
      <c r="E1" s="64"/>
      <c r="F1" s="2"/>
      <c r="G1" s="2"/>
      <c r="H1" s="3"/>
      <c r="I1" s="3"/>
      <c r="J1" s="3"/>
      <c r="O1" s="75" t="s">
        <v>103</v>
      </c>
      <c r="P1" s="75">
        <v>1.0249999999999999</v>
      </c>
    </row>
    <row r="2" spans="2:20" x14ac:dyDescent="0.25">
      <c r="B2" s="5" t="s">
        <v>107</v>
      </c>
      <c r="C2" s="2"/>
      <c r="D2" s="2"/>
      <c r="E2" s="64"/>
      <c r="F2" s="2"/>
      <c r="G2" s="2"/>
      <c r="H2" s="3"/>
      <c r="I2" s="3"/>
      <c r="J2" s="3"/>
      <c r="O2" s="75" t="s">
        <v>104</v>
      </c>
      <c r="P2" s="75">
        <v>1.1499999999999999</v>
      </c>
    </row>
    <row r="3" spans="2:20" x14ac:dyDescent="0.25">
      <c r="B3" s="5" t="s">
        <v>74</v>
      </c>
      <c r="C3" s="2"/>
      <c r="D3" s="2"/>
      <c r="E3" s="64"/>
      <c r="F3" s="2"/>
      <c r="G3" s="2"/>
      <c r="H3" s="3"/>
      <c r="I3" s="3"/>
      <c r="J3" s="3"/>
      <c r="O3" s="75" t="s">
        <v>109</v>
      </c>
      <c r="P3" s="75">
        <v>1.0249999999999999</v>
      </c>
    </row>
    <row r="4" spans="2:20" x14ac:dyDescent="0.25">
      <c r="C4" s="2"/>
      <c r="D4" s="2"/>
      <c r="E4" s="64"/>
      <c r="F4" s="2"/>
      <c r="G4" s="2"/>
      <c r="H4" s="3"/>
      <c r="I4" s="3"/>
      <c r="J4" s="3"/>
    </row>
    <row r="5" spans="2:20" s="10" customFormat="1" ht="66.75" customHeight="1" x14ac:dyDescent="0.25">
      <c r="B5" s="7" t="s">
        <v>1</v>
      </c>
      <c r="C5" s="7" t="s">
        <v>70</v>
      </c>
      <c r="D5" s="7" t="s">
        <v>71</v>
      </c>
      <c r="E5" s="65" t="s">
        <v>86</v>
      </c>
      <c r="F5" s="8" t="s">
        <v>63</v>
      </c>
      <c r="G5" s="7" t="s">
        <v>3</v>
      </c>
      <c r="H5" s="42" t="s">
        <v>72</v>
      </c>
      <c r="I5" s="7" t="s">
        <v>69</v>
      </c>
      <c r="J5" s="7" t="s">
        <v>4</v>
      </c>
      <c r="K5" s="7" t="s">
        <v>5</v>
      </c>
      <c r="L5" s="7" t="s">
        <v>6</v>
      </c>
      <c r="M5" s="7" t="s">
        <v>7</v>
      </c>
      <c r="O5" s="83" t="s">
        <v>71</v>
      </c>
      <c r="P5" s="83" t="s">
        <v>142</v>
      </c>
      <c r="Q5" s="84" t="s">
        <v>4</v>
      </c>
      <c r="R5" s="84" t="s">
        <v>5</v>
      </c>
      <c r="S5" s="84" t="s">
        <v>6</v>
      </c>
      <c r="T5" s="84" t="s">
        <v>7</v>
      </c>
    </row>
    <row r="6" spans="2:20" x14ac:dyDescent="0.25">
      <c r="B6" s="11" t="s">
        <v>8</v>
      </c>
      <c r="C6" s="11"/>
      <c r="D6" s="12" t="s">
        <v>96</v>
      </c>
      <c r="E6" s="66" t="s">
        <v>97</v>
      </c>
      <c r="F6" s="6" t="s">
        <v>98</v>
      </c>
      <c r="G6" s="3">
        <v>330</v>
      </c>
      <c r="H6" s="3">
        <v>7</v>
      </c>
      <c r="I6" s="3" t="s">
        <v>12</v>
      </c>
      <c r="J6" s="50">
        <f>ROUND(VLOOKUP($D6,'May 2020'!$D$6:$M$13,7,0)*BaseIncrPerc2021,3)</f>
        <v>29.931999999999999</v>
      </c>
      <c r="K6" s="50">
        <f>ROUND(VLOOKUP($D6,'May 2020'!$D$6:$M$13,8,0)*BaseIncrPerc2021,3)</f>
        <v>31.361000000000001</v>
      </c>
      <c r="L6" s="50">
        <f>ROUND(VLOOKUP($D6,'May 2020'!$D$6:$M$13,9,0)*BaseIncrPerc2021,3)</f>
        <v>32.863999999999997</v>
      </c>
      <c r="M6" s="50">
        <f>ROUND(VLOOKUP($D6,'May 2020'!$D$6:$M$13,10,0)*BaseIncrPerc2021,3)</f>
        <v>34.44</v>
      </c>
      <c r="N6" s="58"/>
      <c r="O6" s="75" t="str">
        <f>D6</f>
        <v>52951C</v>
      </c>
      <c r="P6" s="75" t="str">
        <f>F6</f>
        <v>Water Loss Specialist</v>
      </c>
      <c r="Q6" s="77">
        <f>J6</f>
        <v>29.931999999999999</v>
      </c>
      <c r="R6" s="77">
        <f t="shared" ref="R6:T6" si="0">K6</f>
        <v>31.361000000000001</v>
      </c>
      <c r="S6" s="77">
        <f t="shared" si="0"/>
        <v>32.863999999999997</v>
      </c>
      <c r="T6" s="77">
        <f t="shared" si="0"/>
        <v>34.44</v>
      </c>
    </row>
    <row r="7" spans="2:20" x14ac:dyDescent="0.25">
      <c r="B7" s="11" t="s">
        <v>8</v>
      </c>
      <c r="C7" s="11"/>
      <c r="D7" s="60" t="s">
        <v>75</v>
      </c>
      <c r="E7" s="66" t="s">
        <v>113</v>
      </c>
      <c r="F7" s="6" t="s">
        <v>87</v>
      </c>
      <c r="G7" s="3"/>
      <c r="H7" s="3" t="s">
        <v>76</v>
      </c>
      <c r="I7" s="3" t="s">
        <v>12</v>
      </c>
      <c r="J7" s="50">
        <f>ROUND(VLOOKUP($D7,'May 2020'!$D$6:$M$13,7,0)*BaseIncrPerc2021,3)</f>
        <v>19.068999999999999</v>
      </c>
      <c r="K7" s="40"/>
      <c r="L7" s="40"/>
      <c r="M7" s="40"/>
      <c r="O7" s="75" t="str">
        <f t="shared" ref="O7:O13" si="1">D7</f>
        <v>52917C</v>
      </c>
      <c r="P7" s="75" t="str">
        <f t="shared" ref="P7:P13" si="2">F7</f>
        <v>Water Distribution Operator Trainee</v>
      </c>
      <c r="Q7" s="77">
        <f t="shared" ref="Q7:Q13" si="3">J7</f>
        <v>19.068999999999999</v>
      </c>
      <c r="R7" s="77"/>
      <c r="S7" s="77"/>
      <c r="T7" s="77"/>
    </row>
    <row r="8" spans="2:20" x14ac:dyDescent="0.25">
      <c r="B8" s="11" t="s">
        <v>8</v>
      </c>
      <c r="C8" s="11">
        <v>2</v>
      </c>
      <c r="D8" s="80" t="s">
        <v>90</v>
      </c>
      <c r="E8" s="61" t="s">
        <v>21</v>
      </c>
      <c r="F8" s="6" t="s">
        <v>56</v>
      </c>
      <c r="G8" s="3">
        <v>265</v>
      </c>
      <c r="H8" s="3">
        <v>5</v>
      </c>
      <c r="I8" s="3" t="s">
        <v>12</v>
      </c>
      <c r="J8" s="50">
        <f>ROUND(VLOOKUP($D8,'May 2020'!$D$6:$M$13,7,0)*BaseIncrPerc2021,3)</f>
        <v>25.858000000000001</v>
      </c>
      <c r="K8" s="50">
        <f>ROUND(VLOOKUP($D8,'May 2020'!$D$6:$M$13,8,0)*BaseIncrPerc2021,3)</f>
        <v>27.146000000000001</v>
      </c>
      <c r="L8" s="50">
        <f>ROUND(VLOOKUP($D8,'May 2020'!$D$6:$M$13,9,0)*BaseIncrPerc2021,3)</f>
        <v>28.5</v>
      </c>
      <c r="M8" s="50">
        <f>ROUND(VLOOKUP($D8,'May 2020'!$D$6:$M$13,10,0)*BaseIncrPerc2021,3)</f>
        <v>29.922000000000001</v>
      </c>
      <c r="N8" s="58"/>
      <c r="O8" s="75" t="str">
        <f t="shared" si="1"/>
        <v>52938C</v>
      </c>
      <c r="P8" s="75" t="str">
        <f t="shared" si="2"/>
        <v>Water Distribution Operator</v>
      </c>
      <c r="Q8" s="77">
        <f t="shared" si="3"/>
        <v>25.858000000000001</v>
      </c>
      <c r="R8" s="77">
        <f t="shared" ref="R8:R13" si="4">K8</f>
        <v>27.146000000000001</v>
      </c>
      <c r="S8" s="77">
        <f t="shared" ref="S8:S13" si="5">L8</f>
        <v>28.5</v>
      </c>
      <c r="T8" s="77">
        <f t="shared" ref="T8:T13" si="6">M8</f>
        <v>29.922000000000001</v>
      </c>
    </row>
    <row r="9" spans="2:20" x14ac:dyDescent="0.25">
      <c r="B9" s="55" t="s">
        <v>8</v>
      </c>
      <c r="C9" s="55">
        <v>2</v>
      </c>
      <c r="D9" s="81" t="s">
        <v>91</v>
      </c>
      <c r="E9" s="63" t="s">
        <v>92</v>
      </c>
      <c r="F9" s="56" t="s">
        <v>57</v>
      </c>
      <c r="G9" s="57">
        <v>310</v>
      </c>
      <c r="H9" s="57">
        <v>6</v>
      </c>
      <c r="I9" s="57" t="s">
        <v>12</v>
      </c>
      <c r="J9" s="59">
        <f>ROUND(VLOOKUP($D9,'May 2020'!$D$6:$M$13,7,0)*BaseIncrPerc2021,3)</f>
        <v>27.585999999999999</v>
      </c>
      <c r="K9" s="59">
        <f>ROUND(VLOOKUP($D9,'May 2020'!$D$6:$M$13,8,0)*BaseIncrPerc2021,3)</f>
        <v>28.905999999999999</v>
      </c>
      <c r="L9" s="59">
        <f>ROUND(VLOOKUP($D9,'May 2020'!$D$6:$M$13,9,0)*BaseIncrPerc2021,3)</f>
        <v>30.29</v>
      </c>
      <c r="M9" s="59">
        <f>ROUND(VLOOKUP($D9,'May 2020'!$D$6:$M$13,10,0)*BaseIncrPerc2021,3)</f>
        <v>31.74</v>
      </c>
      <c r="O9" s="75" t="str">
        <f t="shared" si="1"/>
        <v>52939C</v>
      </c>
      <c r="P9" s="75" t="str">
        <f t="shared" si="2"/>
        <v>Senior Water Distribution Operator</v>
      </c>
      <c r="Q9" s="77">
        <f t="shared" si="3"/>
        <v>27.585999999999999</v>
      </c>
      <c r="R9" s="77">
        <f t="shared" si="4"/>
        <v>28.905999999999999</v>
      </c>
      <c r="S9" s="77">
        <f t="shared" si="5"/>
        <v>30.29</v>
      </c>
      <c r="T9" s="77">
        <f t="shared" si="6"/>
        <v>31.74</v>
      </c>
    </row>
    <row r="10" spans="2:20" x14ac:dyDescent="0.25">
      <c r="B10" s="11" t="s">
        <v>8</v>
      </c>
      <c r="C10" s="11">
        <v>2</v>
      </c>
      <c r="D10" s="12" t="s">
        <v>9</v>
      </c>
      <c r="E10" s="66" t="s">
        <v>14</v>
      </c>
      <c r="F10" s="6" t="s">
        <v>82</v>
      </c>
      <c r="G10" s="3">
        <v>313</v>
      </c>
      <c r="H10" s="3">
        <v>6</v>
      </c>
      <c r="I10" s="3" t="s">
        <v>12</v>
      </c>
      <c r="J10" s="50">
        <f>ROUND(VLOOKUP($D10,'May 2020'!$D$6:$M$13,7,0),3)</f>
        <v>25.619</v>
      </c>
      <c r="K10" s="50">
        <f>ROUND(VLOOKUP($D10,'May 2020'!$D$6:$M$13,8,0),3)</f>
        <v>26.917999999999999</v>
      </c>
      <c r="L10" s="50">
        <f>ROUND(VLOOKUP($D10,'May 2020'!$D$6:$M$13,9,0)*BaseIncrPerc2021,3)</f>
        <v>28.954000000000001</v>
      </c>
      <c r="M10" s="50">
        <f>ROUND(VLOOKUP($D10,'May 2020'!$D$6:$M$13,10,0),3)</f>
        <v>29.646999999999998</v>
      </c>
      <c r="O10" s="75" t="str">
        <f t="shared" si="1"/>
        <v>02235C</v>
      </c>
      <c r="P10" s="75" t="str">
        <f t="shared" si="2"/>
        <v>Commercial Meter Service Worker**</v>
      </c>
      <c r="Q10" s="77">
        <f t="shared" si="3"/>
        <v>25.619</v>
      </c>
      <c r="R10" s="77">
        <f t="shared" si="4"/>
        <v>26.917999999999999</v>
      </c>
      <c r="S10" s="77">
        <f t="shared" si="5"/>
        <v>28.954000000000001</v>
      </c>
      <c r="T10" s="77">
        <f t="shared" si="6"/>
        <v>29.646999999999998</v>
      </c>
    </row>
    <row r="11" spans="2:20" x14ac:dyDescent="0.25">
      <c r="B11" s="11" t="s">
        <v>8</v>
      </c>
      <c r="C11" s="11">
        <v>2</v>
      </c>
      <c r="D11" s="12" t="s">
        <v>17</v>
      </c>
      <c r="E11" s="66" t="s">
        <v>18</v>
      </c>
      <c r="F11" s="6" t="s">
        <v>83</v>
      </c>
      <c r="G11" s="3">
        <v>268</v>
      </c>
      <c r="H11" s="3">
        <v>5</v>
      </c>
      <c r="I11" s="3" t="s">
        <v>12</v>
      </c>
      <c r="J11" s="50">
        <f>ROUND(VLOOKUP($D11,'May 2020'!$D$6:$M$13,7,0),3)</f>
        <v>24.373999999999999</v>
      </c>
      <c r="K11" s="50">
        <f>ROUND(VLOOKUP($D11,'May 2020'!$D$6:$M$13,8,0),3)</f>
        <v>25.59</v>
      </c>
      <c r="L11" s="50">
        <f>ROUND(VLOOKUP($D11,'May 2020'!$D$6:$M$13,9,0)*BaseIncrPerc2021,3)</f>
        <v>27.521000000000001</v>
      </c>
      <c r="M11" s="50">
        <f>ROUND(VLOOKUP($D11,'May 2020'!$D$6:$M$13,10,0),3)</f>
        <v>28.193000000000001</v>
      </c>
      <c r="O11" s="75" t="str">
        <f t="shared" si="1"/>
        <v>08890C</v>
      </c>
      <c r="P11" s="75" t="str">
        <f t="shared" si="2"/>
        <v>Residential Meter Service Worker**</v>
      </c>
      <c r="Q11" s="77">
        <f t="shared" si="3"/>
        <v>24.373999999999999</v>
      </c>
      <c r="R11" s="77">
        <f t="shared" si="4"/>
        <v>25.59</v>
      </c>
      <c r="S11" s="77">
        <f t="shared" si="5"/>
        <v>27.521000000000001</v>
      </c>
      <c r="T11" s="77">
        <f t="shared" si="6"/>
        <v>28.193000000000001</v>
      </c>
    </row>
    <row r="12" spans="2:20" x14ac:dyDescent="0.25">
      <c r="B12" s="11" t="s">
        <v>8</v>
      </c>
      <c r="C12" s="11">
        <v>2</v>
      </c>
      <c r="D12" s="12" t="s">
        <v>20</v>
      </c>
      <c r="E12" s="66" t="s">
        <v>10</v>
      </c>
      <c r="F12" s="6" t="s">
        <v>84</v>
      </c>
      <c r="G12" s="3">
        <v>250</v>
      </c>
      <c r="H12" s="3">
        <v>5</v>
      </c>
      <c r="I12" s="3" t="s">
        <v>12</v>
      </c>
      <c r="J12" s="50">
        <f>ROUND(VLOOKUP($D12,'May 2020'!$D$6:$M$13,7,0),3)</f>
        <v>24.4</v>
      </c>
      <c r="K12" s="50">
        <f>ROUND(VLOOKUP($D12,'May 2020'!$D$6:$M$13,8,0),3)</f>
        <v>25.925999999999998</v>
      </c>
      <c r="L12" s="50">
        <f>ROUND(VLOOKUP($D12,'May 2020'!$D$6:$M$13,9,0)*BaseIncrPerc2021,3)</f>
        <v>27.291</v>
      </c>
      <c r="M12" s="50">
        <f>ROUND(VLOOKUP($D12,'May 2020'!$D$6:$M$13,10,0),3)</f>
        <v>27.576000000000001</v>
      </c>
      <c r="O12" s="75" t="str">
        <f t="shared" si="1"/>
        <v>10940C</v>
      </c>
      <c r="P12" s="75" t="str">
        <f t="shared" si="2"/>
        <v>Water Works Service Worker I**</v>
      </c>
      <c r="Q12" s="77">
        <f t="shared" si="3"/>
        <v>24.4</v>
      </c>
      <c r="R12" s="77">
        <f t="shared" si="4"/>
        <v>25.925999999999998</v>
      </c>
      <c r="S12" s="77">
        <f t="shared" si="5"/>
        <v>27.291</v>
      </c>
      <c r="T12" s="77">
        <f t="shared" si="6"/>
        <v>27.576000000000001</v>
      </c>
    </row>
    <row r="13" spans="2:20" x14ac:dyDescent="0.25">
      <c r="B13" s="11" t="s">
        <v>8</v>
      </c>
      <c r="C13" s="11">
        <v>2</v>
      </c>
      <c r="D13" s="12" t="s">
        <v>23</v>
      </c>
      <c r="E13" s="66" t="s">
        <v>24</v>
      </c>
      <c r="F13" s="6" t="s">
        <v>85</v>
      </c>
      <c r="G13" s="3">
        <v>285</v>
      </c>
      <c r="H13" s="3">
        <v>6</v>
      </c>
      <c r="I13" s="3" t="s">
        <v>12</v>
      </c>
      <c r="J13" s="50">
        <f>ROUND(VLOOKUP($D13,'May 2020'!$D$6:$M$13,7,0),3)</f>
        <v>25.672000000000001</v>
      </c>
      <c r="K13" s="50">
        <f>ROUND(VLOOKUP($D13,'May 2020'!$D$6:$M$13,8,0),3)</f>
        <v>26.821999999999999</v>
      </c>
      <c r="L13" s="50">
        <f>ROUND(VLOOKUP($D13,'May 2020'!$D$6:$M$13,9,0)*BaseIncrPerc2021,3)</f>
        <v>28.625</v>
      </c>
      <c r="M13" s="50">
        <f>ROUND(VLOOKUP($D13,'May 2020'!$D$6:$M$13,10,0),3)</f>
        <v>29.34</v>
      </c>
      <c r="O13" s="75" t="str">
        <f t="shared" si="1"/>
        <v>10950C</v>
      </c>
      <c r="P13" s="75" t="str">
        <f t="shared" si="2"/>
        <v>Water Works Service Worker II**</v>
      </c>
      <c r="Q13" s="77">
        <f t="shared" si="3"/>
        <v>25.672000000000001</v>
      </c>
      <c r="R13" s="77">
        <f t="shared" si="4"/>
        <v>26.821999999999999</v>
      </c>
      <c r="S13" s="77">
        <f t="shared" si="5"/>
        <v>28.625</v>
      </c>
      <c r="T13" s="77">
        <f t="shared" si="6"/>
        <v>29.34</v>
      </c>
    </row>
    <row r="14" spans="2:20" ht="30" customHeight="1" x14ac:dyDescent="0.25">
      <c r="B14" s="132" t="s">
        <v>94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</row>
    <row r="15" spans="2:20" x14ac:dyDescent="0.25">
      <c r="B15" s="11"/>
      <c r="C15" s="11"/>
      <c r="D15" s="12"/>
      <c r="E15" s="66"/>
      <c r="F15" s="6"/>
      <c r="G15" s="3"/>
      <c r="H15" s="3"/>
      <c r="I15" s="3"/>
      <c r="J15" s="40"/>
      <c r="K15" s="40"/>
      <c r="L15" s="40"/>
      <c r="M15" s="40"/>
    </row>
    <row r="16" spans="2:20" x14ac:dyDescent="0.25">
      <c r="B16" s="17" t="s">
        <v>26</v>
      </c>
      <c r="C16" s="2"/>
      <c r="D16" s="2"/>
      <c r="E16" s="64"/>
      <c r="F16" s="17"/>
      <c r="G16" s="2"/>
      <c r="H16" s="2"/>
      <c r="I16" s="2"/>
      <c r="J16" s="2"/>
      <c r="K16" s="2"/>
      <c r="L16" s="2"/>
      <c r="M16" s="2"/>
    </row>
    <row r="17" spans="1:17" x14ac:dyDescent="0.25">
      <c r="B17" s="18" t="s">
        <v>27</v>
      </c>
      <c r="C17" s="19"/>
      <c r="D17" s="19"/>
      <c r="E17" s="67"/>
      <c r="F17" s="19"/>
      <c r="G17" s="19"/>
      <c r="H17" s="19"/>
      <c r="I17" s="19"/>
      <c r="J17" s="80"/>
      <c r="K17" s="80"/>
      <c r="L17" s="80"/>
      <c r="M17" s="80"/>
    </row>
    <row r="18" spans="1:17" x14ac:dyDescent="0.25">
      <c r="B18" s="18" t="s">
        <v>28</v>
      </c>
      <c r="C18" s="19"/>
      <c r="D18" s="19"/>
      <c r="E18" s="67"/>
      <c r="F18" s="19"/>
      <c r="G18" s="19"/>
      <c r="H18" s="19"/>
      <c r="I18" s="19"/>
      <c r="J18" s="80"/>
      <c r="K18" s="80"/>
      <c r="L18" s="82"/>
      <c r="M18" s="80"/>
    </row>
    <row r="19" spans="1:17" x14ac:dyDescent="0.25">
      <c r="B19" s="20">
        <f>Q19</f>
        <v>0.32700000000000001</v>
      </c>
      <c r="D19" s="18" t="s">
        <v>29</v>
      </c>
      <c r="E19" s="68"/>
      <c r="F19" s="19"/>
      <c r="G19" s="19"/>
      <c r="H19" s="19"/>
      <c r="I19" s="21"/>
      <c r="J19" s="21"/>
      <c r="K19" s="16"/>
      <c r="L19" s="21"/>
      <c r="M19" s="49"/>
      <c r="O19" s="75" t="s">
        <v>127</v>
      </c>
      <c r="Q19" s="77">
        <f>ROUND(VLOOKUP(D19,'May 2020'!$D$19:$O$51,12,0)*BaseIncrPerc2021,3)</f>
        <v>0.32700000000000001</v>
      </c>
    </row>
    <row r="20" spans="1:17" x14ac:dyDescent="0.25">
      <c r="B20" s="20">
        <f t="shared" ref="B20:B22" si="7">Q20</f>
        <v>0.45800000000000002</v>
      </c>
      <c r="D20" s="18" t="s">
        <v>30</v>
      </c>
      <c r="E20" s="68"/>
      <c r="F20" s="19"/>
      <c r="G20" s="19"/>
      <c r="H20" s="19"/>
      <c r="I20" s="21"/>
      <c r="J20" s="21"/>
      <c r="K20" s="16"/>
      <c r="L20" s="21"/>
      <c r="M20" s="49"/>
      <c r="O20" s="75" t="s">
        <v>128</v>
      </c>
      <c r="Q20" s="77">
        <f>ROUND(VLOOKUP(D20,'May 2020'!$D$19:$O$51,12,0)*BaseIncrPerc2021,3)</f>
        <v>0.45800000000000002</v>
      </c>
    </row>
    <row r="21" spans="1:17" x14ac:dyDescent="0.25">
      <c r="B21" s="20">
        <f t="shared" si="7"/>
        <v>0.55500000000000005</v>
      </c>
      <c r="D21" s="18" t="s">
        <v>31</v>
      </c>
      <c r="E21" s="68"/>
      <c r="F21" s="19"/>
      <c r="G21" s="19"/>
      <c r="H21" s="19"/>
      <c r="I21" s="21"/>
      <c r="J21" s="21"/>
      <c r="K21" s="16"/>
      <c r="L21" s="2"/>
      <c r="M21" s="49"/>
      <c r="O21" s="75" t="s">
        <v>129</v>
      </c>
      <c r="Q21" s="77">
        <f>ROUND(VLOOKUP(D21,'May 2020'!$D$19:$O$51,12,0)*BaseIncrPerc2021,3)</f>
        <v>0.55500000000000005</v>
      </c>
    </row>
    <row r="22" spans="1:17" x14ac:dyDescent="0.25">
      <c r="B22" s="20">
        <f t="shared" si="7"/>
        <v>0.65100000000000002</v>
      </c>
      <c r="D22" s="18" t="s">
        <v>32</v>
      </c>
      <c r="E22" s="67"/>
      <c r="F22" s="19"/>
      <c r="G22" s="19"/>
      <c r="H22" s="19"/>
      <c r="I22" s="21"/>
      <c r="J22" s="21"/>
      <c r="K22" s="16"/>
      <c r="L22" s="21"/>
      <c r="M22" s="49"/>
      <c r="O22" s="75" t="s">
        <v>130</v>
      </c>
      <c r="Q22" s="77">
        <f>ROUND(VLOOKUP(D22,'May 2020'!$D$19:$O$51,12,0)*BaseIncrPerc2021,3)</f>
        <v>0.65100000000000002</v>
      </c>
    </row>
    <row r="23" spans="1:17" x14ac:dyDescent="0.25">
      <c r="B23" s="17"/>
      <c r="C23" s="2"/>
      <c r="D23" s="2"/>
      <c r="E23" s="64"/>
      <c r="F23" s="17"/>
      <c r="G23" s="2"/>
      <c r="H23" s="2"/>
      <c r="I23" s="2"/>
      <c r="K23" s="2"/>
      <c r="L23" s="2"/>
      <c r="M23" s="2"/>
    </row>
    <row r="24" spans="1:17" x14ac:dyDescent="0.25">
      <c r="B24" s="23" t="s">
        <v>33</v>
      </c>
      <c r="C24" s="21"/>
      <c r="D24" s="21"/>
      <c r="E24" s="69"/>
      <c r="F24" s="21"/>
      <c r="G24" s="21"/>
      <c r="H24" s="21"/>
      <c r="I24" s="21"/>
      <c r="J24" s="21"/>
      <c r="K24" s="21"/>
      <c r="L24" s="21"/>
      <c r="M24" s="21"/>
    </row>
    <row r="25" spans="1:17" x14ac:dyDescent="0.25">
      <c r="B25" s="18" t="s">
        <v>58</v>
      </c>
      <c r="C25" s="19"/>
      <c r="D25" s="19"/>
      <c r="E25" s="67"/>
      <c r="F25" s="19"/>
      <c r="G25" s="19"/>
      <c r="H25" s="19"/>
      <c r="I25" s="19"/>
      <c r="J25" s="21"/>
      <c r="K25" s="21"/>
      <c r="L25" s="21"/>
      <c r="M25" s="21"/>
    </row>
    <row r="26" spans="1:17" x14ac:dyDescent="0.25">
      <c r="B26" s="18" t="s">
        <v>105</v>
      </c>
      <c r="C26" s="19"/>
      <c r="D26" s="19"/>
      <c r="E26" s="67"/>
      <c r="F26" s="19"/>
      <c r="G26" s="74">
        <v>7.0000000000000007E-2</v>
      </c>
      <c r="H26" s="19" t="s">
        <v>106</v>
      </c>
      <c r="I26" s="19"/>
      <c r="J26" s="21"/>
      <c r="K26" s="21"/>
      <c r="L26" s="21"/>
      <c r="M26" s="21"/>
      <c r="O26" s="75" t="s">
        <v>33</v>
      </c>
      <c r="Q26" s="77">
        <f>G26</f>
        <v>7.0000000000000007E-2</v>
      </c>
    </row>
    <row r="27" spans="1:17" x14ac:dyDescent="0.25">
      <c r="B27" s="18"/>
      <c r="C27" s="19"/>
      <c r="D27" s="19"/>
      <c r="E27" s="67"/>
      <c r="F27" s="19"/>
      <c r="G27" s="19"/>
      <c r="H27" s="19"/>
      <c r="I27" s="19"/>
      <c r="J27" s="21"/>
      <c r="K27" s="21"/>
      <c r="L27" s="21"/>
      <c r="M27" s="21"/>
    </row>
    <row r="28" spans="1:17" x14ac:dyDescent="0.25">
      <c r="B28" s="24" t="s">
        <v>37</v>
      </c>
      <c r="C28" s="21"/>
      <c r="D28" s="21"/>
      <c r="E28" s="69"/>
      <c r="F28" s="21"/>
      <c r="G28" s="21"/>
      <c r="H28" s="21"/>
      <c r="I28" s="21"/>
      <c r="J28" s="21"/>
      <c r="K28" s="21"/>
      <c r="L28" s="21"/>
      <c r="M28" s="21"/>
    </row>
    <row r="29" spans="1:17" x14ac:dyDescent="0.25">
      <c r="B29" s="24" t="s">
        <v>38</v>
      </c>
      <c r="C29" s="21"/>
      <c r="D29" s="21"/>
      <c r="E29" s="69"/>
      <c r="F29" s="21"/>
      <c r="G29" s="21"/>
      <c r="H29" s="21"/>
      <c r="I29" s="21"/>
      <c r="J29" s="21"/>
      <c r="K29" s="21"/>
      <c r="L29" s="21"/>
      <c r="M29" s="21"/>
    </row>
    <row r="30" spans="1:17" x14ac:dyDescent="0.25">
      <c r="A30" t="s">
        <v>118</v>
      </c>
      <c r="B30" s="20">
        <f t="shared" ref="B30:B34" si="8">Q30</f>
        <v>0.36</v>
      </c>
      <c r="D30" s="18" t="s">
        <v>59</v>
      </c>
      <c r="E30" s="67"/>
      <c r="F30" s="6"/>
      <c r="G30" s="19"/>
      <c r="H30" s="19"/>
      <c r="I30" s="19"/>
      <c r="J30" s="19"/>
      <c r="K30" s="19"/>
      <c r="L30" s="21"/>
      <c r="M30" s="49"/>
      <c r="O30" s="75" t="s">
        <v>118</v>
      </c>
      <c r="P30" s="75" t="s">
        <v>131</v>
      </c>
      <c r="Q30" s="77">
        <f>ROUND(VLOOKUP(D30,'May 2020'!$D$19:$O$51,12,0)*BaseIncrPerc2021,3)</f>
        <v>0.36</v>
      </c>
    </row>
    <row r="31" spans="1:17" x14ac:dyDescent="0.25">
      <c r="A31" s="4" t="s">
        <v>117</v>
      </c>
      <c r="B31" s="20">
        <f t="shared" si="8"/>
        <v>0.36</v>
      </c>
      <c r="D31" s="18" t="s">
        <v>40</v>
      </c>
      <c r="E31" s="67"/>
      <c r="F31" s="6"/>
      <c r="G31" s="19"/>
      <c r="H31" s="19"/>
      <c r="I31" s="19"/>
      <c r="J31" s="19"/>
      <c r="K31" s="19"/>
      <c r="L31" s="21"/>
      <c r="M31" s="49"/>
      <c r="O31" s="75" t="s">
        <v>117</v>
      </c>
      <c r="P31" s="75" t="s">
        <v>132</v>
      </c>
      <c r="Q31" s="77">
        <f>ROUND(VLOOKUP(D31,'May 2020'!$D$19:$O$51,12,0)*BaseIncrPerc2021,3)</f>
        <v>0.36</v>
      </c>
    </row>
    <row r="32" spans="1:17" x14ac:dyDescent="0.25">
      <c r="A32" t="s">
        <v>119</v>
      </c>
      <c r="B32" s="20">
        <f t="shared" si="8"/>
        <v>0.86599999999999999</v>
      </c>
      <c r="D32" s="18" t="s">
        <v>41</v>
      </c>
      <c r="E32" s="67"/>
      <c r="F32" s="6"/>
      <c r="G32" s="19"/>
      <c r="H32" s="19"/>
      <c r="I32" s="19"/>
      <c r="J32" s="19"/>
      <c r="K32" s="19"/>
      <c r="L32" s="21"/>
      <c r="M32" s="49"/>
      <c r="O32" s="75" t="s">
        <v>119</v>
      </c>
      <c r="P32" s="75" t="s">
        <v>133</v>
      </c>
      <c r="Q32" s="77">
        <f>ROUND(VLOOKUP(D32,'May 2020'!$D$19:$O$51,12,0)*BaseIncrPerc2021,3)</f>
        <v>0.86599999999999999</v>
      </c>
    </row>
    <row r="33" spans="1:20" x14ac:dyDescent="0.25">
      <c r="A33" t="s">
        <v>120</v>
      </c>
      <c r="B33" s="20">
        <f t="shared" si="8"/>
        <v>0.40500000000000003</v>
      </c>
      <c r="D33" s="6" t="s">
        <v>42</v>
      </c>
      <c r="E33" s="68"/>
      <c r="F33" s="6"/>
      <c r="G33" s="6"/>
      <c r="H33" s="6"/>
      <c r="I33" s="6"/>
      <c r="J33" s="6"/>
      <c r="K33" s="6"/>
      <c r="L33" s="6"/>
      <c r="M33" s="49"/>
      <c r="O33" s="75" t="s">
        <v>120</v>
      </c>
      <c r="P33" s="75" t="s">
        <v>134</v>
      </c>
      <c r="Q33" s="77">
        <f>ROUND(VLOOKUP(D33,'May 2020'!$D$19:$O$51,12,0)*BaseIncrPerc2021,3)</f>
        <v>0.40500000000000003</v>
      </c>
    </row>
    <row r="34" spans="1:20" x14ac:dyDescent="0.25">
      <c r="A34" t="s">
        <v>121</v>
      </c>
      <c r="B34" s="20">
        <f t="shared" si="8"/>
        <v>1.1830000000000001</v>
      </c>
      <c r="D34" s="6" t="s">
        <v>43</v>
      </c>
      <c r="E34" s="68"/>
      <c r="F34" s="6"/>
      <c r="G34" s="6"/>
      <c r="H34" s="6"/>
      <c r="I34" s="6"/>
      <c r="J34" s="6"/>
      <c r="K34" s="6"/>
      <c r="L34" s="6"/>
      <c r="M34" s="49"/>
      <c r="O34" s="75" t="s">
        <v>121</v>
      </c>
      <c r="P34" s="75" t="s">
        <v>135</v>
      </c>
      <c r="Q34" s="77">
        <f>ROUND(VLOOKUP(D34,'May 2020'!$D$19:$O$51,12,0)*BaseIncrPerc2021,3)</f>
        <v>1.1830000000000001</v>
      </c>
    </row>
    <row r="36" spans="1:20" s="26" customFormat="1" x14ac:dyDescent="0.25">
      <c r="B36" s="26" t="s">
        <v>60</v>
      </c>
      <c r="E36" s="70"/>
      <c r="O36" s="78"/>
      <c r="P36" s="78"/>
      <c r="Q36" s="78"/>
      <c r="R36" s="78"/>
      <c r="S36" s="78"/>
      <c r="T36" s="78"/>
    </row>
    <row r="37" spans="1:20" x14ac:dyDescent="0.25">
      <c r="B37" s="26" t="s">
        <v>45</v>
      </c>
    </row>
    <row r="38" spans="1:20" x14ac:dyDescent="0.25">
      <c r="A38" t="s">
        <v>124</v>
      </c>
      <c r="B38" s="20">
        <f t="shared" ref="B38:B40" si="9">Q38</f>
        <v>0.57599999999999996</v>
      </c>
      <c r="D38" s="4" t="s">
        <v>61</v>
      </c>
      <c r="M38" s="21"/>
      <c r="O38" s="75" t="s">
        <v>124</v>
      </c>
      <c r="P38" s="75" t="s">
        <v>136</v>
      </c>
      <c r="Q38" s="77">
        <f>ROUND(VLOOKUP(D38,'May 2020'!$D$19:$O$51,12,0)*BaseIncrPerc2021,3)</f>
        <v>0.57599999999999996</v>
      </c>
    </row>
    <row r="39" spans="1:20" x14ac:dyDescent="0.25">
      <c r="A39" t="s">
        <v>123</v>
      </c>
      <c r="B39" s="20">
        <f t="shared" si="9"/>
        <v>0.86899999999999999</v>
      </c>
      <c r="D39" s="4" t="s">
        <v>48</v>
      </c>
      <c r="M39" s="21"/>
      <c r="O39" s="75" t="s">
        <v>123</v>
      </c>
      <c r="P39" s="75" t="s">
        <v>137</v>
      </c>
      <c r="Q39" s="77">
        <f>ROUND(VLOOKUP(D39,'May 2020'!$D$19:$O$51,12,0)*BaseIncrPerc2021,3)</f>
        <v>0.86899999999999999</v>
      </c>
    </row>
    <row r="40" spans="1:20" x14ac:dyDescent="0.25">
      <c r="A40" t="s">
        <v>122</v>
      </c>
      <c r="B40" s="20">
        <f t="shared" si="9"/>
        <v>1.1619999999999999</v>
      </c>
      <c r="D40" s="4" t="s">
        <v>49</v>
      </c>
      <c r="M40" s="21"/>
      <c r="O40" s="75" t="s">
        <v>122</v>
      </c>
      <c r="P40" s="75" t="s">
        <v>138</v>
      </c>
      <c r="Q40" s="77">
        <f>ROUND(VLOOKUP(D40,'May 2020'!$D$19:$O$51,12,0)*BaseIncrPerc2021,3)</f>
        <v>1.1619999999999999</v>
      </c>
    </row>
    <row r="42" spans="1:20" x14ac:dyDescent="0.25">
      <c r="B42" s="24" t="s">
        <v>50</v>
      </c>
      <c r="C42" s="27"/>
      <c r="D42" s="27"/>
      <c r="E42" s="72"/>
      <c r="F42" s="29"/>
      <c r="G42" s="29"/>
      <c r="H42" s="29"/>
      <c r="I42" s="29"/>
      <c r="J42" s="29"/>
      <c r="K42" s="29"/>
      <c r="L42" s="29"/>
      <c r="M42" s="29"/>
    </row>
    <row r="43" spans="1:20" x14ac:dyDescent="0.25">
      <c r="B43" s="30" t="s">
        <v>51</v>
      </c>
      <c r="C43" s="31"/>
      <c r="D43" s="31"/>
      <c r="E43" s="73"/>
      <c r="F43" s="33"/>
      <c r="G43" s="33"/>
      <c r="H43" s="33"/>
      <c r="I43" s="33"/>
      <c r="J43" s="33"/>
      <c r="K43" s="29"/>
      <c r="L43" s="29"/>
      <c r="M43" s="29"/>
    </row>
    <row r="44" spans="1:20" x14ac:dyDescent="0.25">
      <c r="A44" t="s">
        <v>125</v>
      </c>
      <c r="B44" s="22">
        <f>Q44</f>
        <v>0.748</v>
      </c>
      <c r="D44" s="18" t="s">
        <v>52</v>
      </c>
      <c r="E44" s="73"/>
      <c r="F44" s="33"/>
      <c r="G44" s="35"/>
      <c r="H44" s="35"/>
      <c r="I44" s="35"/>
      <c r="L44" s="33"/>
      <c r="M44" s="33"/>
      <c r="O44" s="75" t="s">
        <v>125</v>
      </c>
      <c r="P44" s="75" t="s">
        <v>139</v>
      </c>
      <c r="Q44" s="77">
        <f>ROUND(VLOOKUP(D44,'May 2020'!$D$19:$O$51,12,0)*ShiftIncrPerc2020,3)</f>
        <v>0.748</v>
      </c>
    </row>
    <row r="45" spans="1:20" x14ac:dyDescent="0.25">
      <c r="B45" s="36"/>
      <c r="D45" s="37" t="s">
        <v>53</v>
      </c>
      <c r="E45" s="73"/>
      <c r="F45" s="33"/>
      <c r="G45" s="35"/>
      <c r="H45" s="35"/>
      <c r="I45" s="35"/>
      <c r="J45" s="33"/>
      <c r="K45" s="33"/>
      <c r="L45" s="33"/>
      <c r="M45" s="33"/>
    </row>
    <row r="46" spans="1:20" x14ac:dyDescent="0.25">
      <c r="B46" s="34"/>
      <c r="C46" s="36"/>
      <c r="D46" s="34"/>
      <c r="E46" s="73"/>
      <c r="F46" s="33"/>
      <c r="G46" s="35"/>
      <c r="H46" s="35"/>
      <c r="I46" s="35"/>
      <c r="J46" s="38"/>
      <c r="K46" s="39"/>
      <c r="L46" s="33"/>
      <c r="M46" s="33"/>
    </row>
    <row r="47" spans="1:20" x14ac:dyDescent="0.25">
      <c r="B47" s="30" t="s">
        <v>54</v>
      </c>
      <c r="C47" s="31"/>
      <c r="D47" s="31"/>
      <c r="E47" s="73"/>
      <c r="F47" s="33"/>
      <c r="G47" s="35"/>
      <c r="H47" s="35"/>
      <c r="I47" s="35"/>
      <c r="J47" s="33"/>
      <c r="K47" s="33"/>
      <c r="L47" s="33"/>
      <c r="M47" s="33"/>
    </row>
    <row r="48" spans="1:20" x14ac:dyDescent="0.25">
      <c r="A48" s="4" t="s">
        <v>126</v>
      </c>
      <c r="B48" s="22">
        <f>Q48</f>
        <v>1.251525</v>
      </c>
      <c r="D48" s="18" t="s">
        <v>152</v>
      </c>
      <c r="E48" s="73"/>
      <c r="F48" s="29"/>
      <c r="G48" s="29"/>
      <c r="H48" s="35"/>
      <c r="I48" s="35"/>
      <c r="M48" s="33"/>
      <c r="O48" s="75" t="s">
        <v>126</v>
      </c>
      <c r="P48" s="75" t="s">
        <v>140</v>
      </c>
      <c r="Q48" s="77">
        <f>1.221*ShiftIncrPerc2021v2</f>
        <v>1.251525</v>
      </c>
    </row>
    <row r="49" spans="2:13" x14ac:dyDescent="0.25">
      <c r="B49" s="36"/>
      <c r="D49" s="37" t="s">
        <v>53</v>
      </c>
      <c r="E49" s="73"/>
      <c r="F49" s="33"/>
      <c r="G49" s="35"/>
      <c r="H49" s="35"/>
      <c r="I49" s="35"/>
      <c r="J49" s="33"/>
      <c r="K49" s="33"/>
      <c r="L49" s="33"/>
      <c r="M49" s="33"/>
    </row>
  </sheetData>
  <mergeCells count="1">
    <mergeCell ref="B14:M14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ECCB-6407-46A8-BDA6-22A535A1DB87}">
  <sheetPr>
    <tabColor theme="1"/>
  </sheetPr>
  <dimension ref="A1:AD49"/>
  <sheetViews>
    <sheetView showGridLines="0" topLeftCell="B1" workbookViewId="0">
      <selection activeCell="P30" sqref="P30"/>
    </sheetView>
  </sheetViews>
  <sheetFormatPr defaultColWidth="9.140625" defaultRowHeight="15" x14ac:dyDescent="0.25"/>
  <cols>
    <col min="1" max="1" width="0" style="4" hidden="1" customWidth="1"/>
    <col min="2" max="2" width="9.7109375" style="4" customWidth="1"/>
    <col min="3" max="3" width="9.7109375" style="4" hidden="1" customWidth="1"/>
    <col min="4" max="4" width="9.7109375" style="4" customWidth="1"/>
    <col min="5" max="5" width="7.140625" style="71" customWidth="1"/>
    <col min="6" max="6" width="42.5703125" style="4" customWidth="1"/>
    <col min="7" max="7" width="6.5703125" style="4" bestFit="1" customWidth="1"/>
    <col min="8" max="8" width="7.7109375" style="4" bestFit="1" customWidth="1"/>
    <col min="9" max="9" width="7.42578125" style="4" customWidth="1"/>
    <col min="10" max="12" width="8" style="4" customWidth="1"/>
    <col min="13" max="13" width="8.42578125" style="4" bestFit="1" customWidth="1"/>
    <col min="14" max="14" width="9.140625" style="4"/>
    <col min="15" max="15" width="15.7109375" style="85" bestFit="1" customWidth="1"/>
    <col min="16" max="16" width="19.7109375" style="86" bestFit="1" customWidth="1"/>
    <col min="17" max="17" width="34.140625" style="85" bestFit="1" customWidth="1"/>
    <col min="18" max="22" width="9.140625" style="86"/>
    <col min="23" max="23" width="9.140625" style="4"/>
    <col min="24" max="24" width="12.28515625" style="94" bestFit="1" customWidth="1"/>
    <col min="25" max="25" width="34.140625" style="94" bestFit="1" customWidth="1"/>
    <col min="26" max="26" width="7.28515625" style="94" bestFit="1" customWidth="1"/>
    <col min="27" max="30" width="10.5703125" style="94" customWidth="1"/>
    <col min="31" max="16384" width="9.140625" style="4"/>
  </cols>
  <sheetData>
    <row r="1" spans="2:30" ht="18.75" x14ac:dyDescent="0.3">
      <c r="B1" s="1" t="s">
        <v>88</v>
      </c>
      <c r="C1" s="2"/>
      <c r="D1" s="2"/>
      <c r="E1" s="64"/>
      <c r="F1" s="2"/>
      <c r="G1" s="2"/>
      <c r="H1" s="3"/>
      <c r="I1" s="3"/>
      <c r="J1" s="3"/>
      <c r="O1" s="85" t="s">
        <v>145</v>
      </c>
      <c r="P1" s="86">
        <v>1.0249999999999999</v>
      </c>
    </row>
    <row r="2" spans="2:30" x14ac:dyDescent="0.25">
      <c r="B2" s="5" t="s">
        <v>108</v>
      </c>
      <c r="C2" s="2"/>
      <c r="D2" s="2"/>
      <c r="E2" s="64"/>
      <c r="F2" s="2"/>
      <c r="G2" s="2"/>
      <c r="H2" s="3"/>
      <c r="I2" s="3"/>
      <c r="J2" s="3"/>
      <c r="O2" s="85" t="s">
        <v>146</v>
      </c>
      <c r="P2" s="86">
        <v>1.1499999999999999</v>
      </c>
    </row>
    <row r="3" spans="2:30" x14ac:dyDescent="0.25">
      <c r="B3" s="5" t="s">
        <v>74</v>
      </c>
      <c r="C3" s="2"/>
      <c r="D3" s="2"/>
      <c r="E3" s="64"/>
      <c r="F3" s="2"/>
      <c r="G3" s="2"/>
      <c r="H3" s="3"/>
      <c r="I3" s="3"/>
      <c r="J3" s="3"/>
      <c r="O3" s="85" t="s">
        <v>147</v>
      </c>
      <c r="P3" s="86">
        <v>1.0249999999999999</v>
      </c>
    </row>
    <row r="4" spans="2:30" x14ac:dyDescent="0.25">
      <c r="C4" s="2"/>
      <c r="D4" s="2"/>
      <c r="E4" s="64"/>
      <c r="F4" s="2"/>
      <c r="G4" s="2"/>
      <c r="H4" s="3"/>
      <c r="I4" s="3"/>
      <c r="J4" s="3"/>
      <c r="O4" s="85" t="s">
        <v>143</v>
      </c>
      <c r="P4" s="86" t="s">
        <v>144</v>
      </c>
      <c r="S4" s="86">
        <v>3</v>
      </c>
      <c r="T4" s="86">
        <v>4</v>
      </c>
      <c r="U4" s="86">
        <v>5</v>
      </c>
      <c r="V4" s="86">
        <v>6</v>
      </c>
    </row>
    <row r="5" spans="2:30" s="10" customFormat="1" ht="30" x14ac:dyDescent="0.25">
      <c r="B5" s="7" t="s">
        <v>1</v>
      </c>
      <c r="C5" s="7" t="s">
        <v>70</v>
      </c>
      <c r="D5" s="7" t="s">
        <v>71</v>
      </c>
      <c r="E5" s="65" t="s">
        <v>86</v>
      </c>
      <c r="F5" s="8" t="s">
        <v>63</v>
      </c>
      <c r="G5" s="7" t="s">
        <v>3</v>
      </c>
      <c r="H5" s="7" t="s">
        <v>150</v>
      </c>
      <c r="I5" s="7" t="s">
        <v>69</v>
      </c>
      <c r="J5" s="7" t="s">
        <v>4</v>
      </c>
      <c r="K5" s="7" t="s">
        <v>5</v>
      </c>
      <c r="L5" s="7" t="s">
        <v>6</v>
      </c>
      <c r="M5" s="7" t="s">
        <v>7</v>
      </c>
      <c r="O5" s="87" t="s">
        <v>148</v>
      </c>
      <c r="P5" s="88" t="s">
        <v>71</v>
      </c>
      <c r="Q5" s="87" t="s">
        <v>141</v>
      </c>
      <c r="R5" s="88" t="s">
        <v>2</v>
      </c>
      <c r="S5" s="89" t="s">
        <v>4</v>
      </c>
      <c r="T5" s="89" t="s">
        <v>5</v>
      </c>
      <c r="U5" s="89" t="s">
        <v>6</v>
      </c>
      <c r="V5" s="89" t="s">
        <v>7</v>
      </c>
      <c r="X5" s="95" t="s">
        <v>71</v>
      </c>
      <c r="Y5" s="96" t="s">
        <v>141</v>
      </c>
      <c r="Z5" s="95" t="s">
        <v>2</v>
      </c>
      <c r="AA5" s="97" t="s">
        <v>4</v>
      </c>
      <c r="AB5" s="97" t="s">
        <v>5</v>
      </c>
      <c r="AC5" s="97" t="s">
        <v>6</v>
      </c>
      <c r="AD5" s="97" t="s">
        <v>7</v>
      </c>
    </row>
    <row r="6" spans="2:30" x14ac:dyDescent="0.25">
      <c r="B6" s="11" t="s">
        <v>8</v>
      </c>
      <c r="C6" s="11"/>
      <c r="D6" s="12" t="s">
        <v>96</v>
      </c>
      <c r="E6" s="66" t="s">
        <v>97</v>
      </c>
      <c r="F6" s="6" t="s">
        <v>98</v>
      </c>
      <c r="G6" s="3">
        <v>330</v>
      </c>
      <c r="H6" s="3">
        <v>7</v>
      </c>
      <c r="I6" s="3" t="s">
        <v>12</v>
      </c>
      <c r="J6" s="50">
        <f>ROUND(VLOOKUP($D6,'March 2021'!$D$6:$M$13,7,0)*BaseIncrPerc2022,3)</f>
        <v>30.68</v>
      </c>
      <c r="K6" s="50">
        <f>ROUND(VLOOKUP($D6,'March 2021'!$D$6:$M$13,8,0)*BaseIncrPerc2022,3)</f>
        <v>32.145000000000003</v>
      </c>
      <c r="L6" s="50">
        <f>ROUND(VLOOKUP($D6,'March 2021'!$D$6:$M$13,9,0)*BaseIncrPerc2022,3)</f>
        <v>33.686</v>
      </c>
      <c r="M6" s="50">
        <f>ROUND(VLOOKUP($D6,'March 2021'!$D$6:$M$13,10,0)*BaseIncrPerc2022,3)</f>
        <v>35.301000000000002</v>
      </c>
      <c r="N6" s="58"/>
      <c r="O6" s="85" t="s">
        <v>149</v>
      </c>
      <c r="P6" s="86" t="str">
        <f>D6</f>
        <v>52951C</v>
      </c>
      <c r="Q6" s="85" t="str">
        <f>F6</f>
        <v>Water Loss Specialist</v>
      </c>
      <c r="R6" s="90" t="str">
        <f>E6</f>
        <v>09</v>
      </c>
      <c r="S6" s="91" cm="1">
        <f t="array" aca="1" ref="S6" ca="1">IF($O6="Y",VLOOKUP($P6,INDIRECT($P$4),S$4,0)*INDIRECT($O$1),VLOOKUP($P6,INDIRECT($P$4),S$4,0))</f>
        <v>30.680299999999995</v>
      </c>
      <c r="T6" s="91" cm="1">
        <f t="array" aca="1" ref="T6" ca="1">IF($O6="Y",VLOOKUP($P6,INDIRECT($P$4),T$4,0)*INDIRECT($O$1),VLOOKUP($P6,INDIRECT($P$4),T$4,0))</f>
        <v>32.145024999999997</v>
      </c>
      <c r="U6" s="91" cm="1">
        <f t="array" aca="1" ref="U6" ca="1">IF($O6="Y",VLOOKUP($P6,INDIRECT($P$4),U$4,0)*INDIRECT($O$1),VLOOKUP($P6,INDIRECT($P$4),U$4,0))</f>
        <v>33.685599999999994</v>
      </c>
      <c r="V6" s="91" cm="1">
        <f t="array" aca="1" ref="V6" ca="1">IF($O6="Y",VLOOKUP($P6,INDIRECT($P$4),V$4,0)*INDIRECT($O$1),VLOOKUP($P6,INDIRECT($P$4),V$4,0))</f>
        <v>35.300999999999995</v>
      </c>
      <c r="X6" s="94" t="str">
        <f>P6</f>
        <v>52951C</v>
      </c>
      <c r="Y6" s="94" t="str">
        <f>Q6</f>
        <v>Water Loss Specialist</v>
      </c>
      <c r="Z6" s="98" t="str">
        <f>R6</f>
        <v>09</v>
      </c>
      <c r="AA6" s="99">
        <f ca="1">ROUND(S6,3)</f>
        <v>30.68</v>
      </c>
      <c r="AB6" s="99">
        <f t="shared" ref="AB6:AD6" ca="1" si="0">ROUND(T6,3)</f>
        <v>32.145000000000003</v>
      </c>
      <c r="AC6" s="99">
        <f t="shared" ca="1" si="0"/>
        <v>33.686</v>
      </c>
      <c r="AD6" s="99">
        <f t="shared" ca="1" si="0"/>
        <v>35.301000000000002</v>
      </c>
    </row>
    <row r="7" spans="2:30" x14ac:dyDescent="0.25">
      <c r="B7" s="11" t="s">
        <v>8</v>
      </c>
      <c r="C7" s="11"/>
      <c r="D7" s="60" t="s">
        <v>75</v>
      </c>
      <c r="E7" s="66" t="s">
        <v>113</v>
      </c>
      <c r="F7" s="6" t="s">
        <v>87</v>
      </c>
      <c r="G7" s="3"/>
      <c r="H7" s="3" t="s">
        <v>76</v>
      </c>
      <c r="I7" s="3" t="s">
        <v>12</v>
      </c>
      <c r="J7" s="50">
        <f>ROUND(VLOOKUP($D7,'March 2021'!$D$6:$M$13,7,0)*BaseIncrPerc2022,3)</f>
        <v>19.545999999999999</v>
      </c>
      <c r="K7" s="40"/>
      <c r="L7" s="40"/>
      <c r="M7" s="40"/>
      <c r="O7" s="85" t="s">
        <v>149</v>
      </c>
      <c r="P7" s="86" t="str">
        <f t="shared" ref="P7:P13" si="1">D7</f>
        <v>52917C</v>
      </c>
      <c r="Q7" s="85" t="str">
        <f t="shared" ref="Q7:Q13" si="2">F7</f>
        <v>Water Distribution Operator Trainee</v>
      </c>
      <c r="R7" s="90" t="str">
        <f t="shared" ref="R7:R13" si="3">E7</f>
        <v>04</v>
      </c>
      <c r="S7" s="91" cm="1">
        <f t="array" aca="1" ref="S7" ca="1">IF($O7="Y",VLOOKUP($P7,INDIRECT($P$4),S$4,0)*INDIRECT($O$1),VLOOKUP($P7,INDIRECT($P$4),S$4,0))</f>
        <v>19.545724999999997</v>
      </c>
      <c r="T7" s="91"/>
      <c r="U7" s="91"/>
      <c r="V7" s="91"/>
      <c r="X7" s="94" t="str">
        <f t="shared" ref="X7:X13" si="4">P7</f>
        <v>52917C</v>
      </c>
      <c r="Y7" s="94" t="str">
        <f t="shared" ref="Y7:Y13" si="5">Q7</f>
        <v>Water Distribution Operator Trainee</v>
      </c>
      <c r="Z7" s="98" t="str">
        <f t="shared" ref="Z7:Z13" si="6">R7</f>
        <v>04</v>
      </c>
      <c r="AA7" s="99">
        <f t="shared" ref="AA7:AA13" ca="1" si="7">ROUND(S7,3)</f>
        <v>19.545999999999999</v>
      </c>
      <c r="AB7" s="99"/>
      <c r="AC7" s="99"/>
      <c r="AD7" s="99"/>
    </row>
    <row r="8" spans="2:30" x14ac:dyDescent="0.25">
      <c r="B8" s="11" t="s">
        <v>8</v>
      </c>
      <c r="C8" s="11">
        <v>2</v>
      </c>
      <c r="D8" s="80" t="s">
        <v>90</v>
      </c>
      <c r="E8" s="61" t="s">
        <v>21</v>
      </c>
      <c r="F8" s="6" t="s">
        <v>56</v>
      </c>
      <c r="G8" s="3">
        <v>265</v>
      </c>
      <c r="H8" s="3">
        <v>5</v>
      </c>
      <c r="I8" s="3" t="s">
        <v>12</v>
      </c>
      <c r="J8" s="50">
        <f>ROUND(VLOOKUP($D8,'March 2021'!$D$6:$M$13,7,0)*BaseIncrPerc2022,3)</f>
        <v>26.504000000000001</v>
      </c>
      <c r="K8" s="50">
        <f>ROUND(VLOOKUP($D8,'March 2021'!$D$6:$M$13,8,0)*BaseIncrPerc2022,3)</f>
        <v>27.824999999999999</v>
      </c>
      <c r="L8" s="50">
        <f>ROUND(VLOOKUP($D8,'March 2021'!$D$6:$M$13,9,0)*BaseIncrPerc2022,3)</f>
        <v>29.213000000000001</v>
      </c>
      <c r="M8" s="50">
        <f>ROUND(VLOOKUP($D8,'March 2021'!$D$6:$M$13,10,0)*BaseIncrPerc2022,3)</f>
        <v>30.67</v>
      </c>
      <c r="N8" s="58"/>
      <c r="O8" s="85" t="s">
        <v>149</v>
      </c>
      <c r="P8" s="86" t="str">
        <f t="shared" si="1"/>
        <v>52938C</v>
      </c>
      <c r="Q8" s="85" t="str">
        <f t="shared" si="2"/>
        <v>Water Distribution Operator</v>
      </c>
      <c r="R8" s="90" t="str">
        <f t="shared" si="3"/>
        <v>01</v>
      </c>
      <c r="S8" s="91" cm="1">
        <f t="array" aca="1" ref="S8" ca="1">IF($O8="Y",VLOOKUP($P8,INDIRECT($P$4),S$4,0)*INDIRECT($O$1),VLOOKUP($P8,INDIRECT($P$4),S$4,0))</f>
        <v>26.504449999999999</v>
      </c>
      <c r="T8" s="91" cm="1">
        <f t="array" aca="1" ref="T8" ca="1">IF($O8="Y",VLOOKUP($P8,INDIRECT($P$4),T$4,0)*INDIRECT($O$1),VLOOKUP($P8,INDIRECT($P$4),T$4,0))</f>
        <v>27.824649999999998</v>
      </c>
      <c r="U8" s="91" cm="1">
        <f t="array" aca="1" ref="U8" ca="1">IF($O8="Y",VLOOKUP($P8,INDIRECT($P$4),U$4,0)*INDIRECT($O$1),VLOOKUP($P8,INDIRECT($P$4),U$4,0))</f>
        <v>29.212499999999999</v>
      </c>
      <c r="V8" s="91" cm="1">
        <f t="array" aca="1" ref="V8" ca="1">IF($O8="Y",VLOOKUP($P8,INDIRECT($P$4),V$4,0)*INDIRECT($O$1),VLOOKUP($P8,INDIRECT($P$4),V$4,0))</f>
        <v>30.670049999999996</v>
      </c>
      <c r="X8" s="94" t="str">
        <f t="shared" si="4"/>
        <v>52938C</v>
      </c>
      <c r="Y8" s="94" t="str">
        <f t="shared" si="5"/>
        <v>Water Distribution Operator</v>
      </c>
      <c r="Z8" s="98" t="str">
        <f t="shared" si="6"/>
        <v>01</v>
      </c>
      <c r="AA8" s="99">
        <f t="shared" ca="1" si="7"/>
        <v>26.504000000000001</v>
      </c>
      <c r="AB8" s="99">
        <f t="shared" ref="AB8:AB13" ca="1" si="8">ROUND(T8,3)</f>
        <v>27.824999999999999</v>
      </c>
      <c r="AC8" s="99">
        <f t="shared" ref="AC8:AD13" ca="1" si="9">ROUND(U8,3)</f>
        <v>29.213000000000001</v>
      </c>
      <c r="AD8" s="99">
        <f t="shared" ca="1" si="9"/>
        <v>30.67</v>
      </c>
    </row>
    <row r="9" spans="2:30" x14ac:dyDescent="0.25">
      <c r="B9" s="55" t="s">
        <v>8</v>
      </c>
      <c r="C9" s="55">
        <v>2</v>
      </c>
      <c r="D9" s="81" t="s">
        <v>91</v>
      </c>
      <c r="E9" s="63" t="s">
        <v>92</v>
      </c>
      <c r="F9" s="56" t="s">
        <v>57</v>
      </c>
      <c r="G9" s="57">
        <v>310</v>
      </c>
      <c r="H9" s="57">
        <v>6</v>
      </c>
      <c r="I9" s="57" t="s">
        <v>12</v>
      </c>
      <c r="J9" s="59">
        <f>ROUND(VLOOKUP($D9,'March 2021'!$D$6:$M$13,7,0)*BaseIncrPerc2022,3)</f>
        <v>28.276</v>
      </c>
      <c r="K9" s="59">
        <f>ROUND(VLOOKUP($D9,'March 2021'!$D$6:$M$13,8,0)*BaseIncrPerc2022,3)</f>
        <v>29.629000000000001</v>
      </c>
      <c r="L9" s="59">
        <f>ROUND(VLOOKUP($D9,'March 2021'!$D$6:$M$13,9,0)*BaseIncrPerc2022,3)</f>
        <v>31.047000000000001</v>
      </c>
      <c r="M9" s="59">
        <f>ROUND(VLOOKUP($D9,'March 2021'!$D$6:$M$13,10,0)*BaseIncrPerc2022,3)</f>
        <v>32.533999999999999</v>
      </c>
      <c r="O9" s="85" t="s">
        <v>149</v>
      </c>
      <c r="P9" s="86" t="str">
        <f t="shared" si="1"/>
        <v>52939C</v>
      </c>
      <c r="Q9" s="85" t="str">
        <f t="shared" si="2"/>
        <v>Senior Water Distribution Operator</v>
      </c>
      <c r="R9" s="90" t="str">
        <f t="shared" si="3"/>
        <v>02</v>
      </c>
      <c r="S9" s="91" cm="1">
        <f t="array" aca="1" ref="S9" ca="1">IF($O9="Y",VLOOKUP($P9,INDIRECT($P$4),S$4,0)*INDIRECT($O$1),VLOOKUP($P9,INDIRECT($P$4),S$4,0))</f>
        <v>28.275649999999995</v>
      </c>
      <c r="T9" s="91" cm="1">
        <f t="array" aca="1" ref="T9" ca="1">IF($O9="Y",VLOOKUP($P9,INDIRECT($P$4),T$4,0)*INDIRECT($O$1),VLOOKUP($P9,INDIRECT($P$4),T$4,0))</f>
        <v>29.628649999999997</v>
      </c>
      <c r="U9" s="91" cm="1">
        <f t="array" aca="1" ref="U9" ca="1">IF($O9="Y",VLOOKUP($P9,INDIRECT($P$4),U$4,0)*INDIRECT($O$1),VLOOKUP($P9,INDIRECT($P$4),U$4,0))</f>
        <v>31.047249999999995</v>
      </c>
      <c r="V9" s="91" cm="1">
        <f t="array" aca="1" ref="V9" ca="1">IF($O9="Y",VLOOKUP($P9,INDIRECT($P$4),V$4,0)*INDIRECT($O$1),VLOOKUP($P9,INDIRECT($P$4),V$4,0))</f>
        <v>32.533499999999997</v>
      </c>
      <c r="X9" s="94" t="str">
        <f t="shared" si="4"/>
        <v>52939C</v>
      </c>
      <c r="Y9" s="94" t="str">
        <f t="shared" si="5"/>
        <v>Senior Water Distribution Operator</v>
      </c>
      <c r="Z9" s="98" t="str">
        <f t="shared" si="6"/>
        <v>02</v>
      </c>
      <c r="AA9" s="99">
        <f t="shared" ca="1" si="7"/>
        <v>28.276</v>
      </c>
      <c r="AB9" s="99">
        <f t="shared" ca="1" si="8"/>
        <v>29.629000000000001</v>
      </c>
      <c r="AC9" s="99">
        <f t="shared" ca="1" si="9"/>
        <v>31.047000000000001</v>
      </c>
      <c r="AD9" s="99">
        <f t="shared" ca="1" si="9"/>
        <v>32.533999999999999</v>
      </c>
    </row>
    <row r="10" spans="2:30" x14ac:dyDescent="0.25">
      <c r="B10" s="11" t="s">
        <v>8</v>
      </c>
      <c r="C10" s="11">
        <v>2</v>
      </c>
      <c r="D10" s="12" t="s">
        <v>9</v>
      </c>
      <c r="E10" s="66" t="s">
        <v>14</v>
      </c>
      <c r="F10" s="6" t="s">
        <v>82</v>
      </c>
      <c r="G10" s="3">
        <v>313</v>
      </c>
      <c r="H10" s="3">
        <v>6</v>
      </c>
      <c r="I10" s="3" t="s">
        <v>12</v>
      </c>
      <c r="J10" s="50">
        <f>ROUND(VLOOKUP($D10,'March 2021'!$D$6:$M$13,7,0),3)</f>
        <v>25.619</v>
      </c>
      <c r="K10" s="50">
        <f>ROUND(VLOOKUP($D10,'March 2021'!$D$6:$M$13,8,0),3)</f>
        <v>26.917999999999999</v>
      </c>
      <c r="L10" s="50">
        <f>ROUND(VLOOKUP($D10,'March 2021'!$D$6:$M$13,9,0),3)</f>
        <v>28.954000000000001</v>
      </c>
      <c r="M10" s="50">
        <f>ROUND(VLOOKUP($D10,'March 2021'!$D$6:$M$13,10,0),3)</f>
        <v>29.646999999999998</v>
      </c>
      <c r="O10" s="85" t="s">
        <v>8</v>
      </c>
      <c r="P10" s="86" t="str">
        <f t="shared" si="1"/>
        <v>02235C</v>
      </c>
      <c r="Q10" s="85" t="str">
        <f t="shared" si="2"/>
        <v>Commercial Meter Service Worker**</v>
      </c>
      <c r="R10" s="90" t="str">
        <f t="shared" si="3"/>
        <v>05</v>
      </c>
      <c r="S10" s="91" cm="1">
        <f t="array" aca="1" ref="S10" ca="1">IF($O10="Y",VLOOKUP($P10,INDIRECT($P$4),S$4,0)*INDIRECT($O$1),VLOOKUP($P10,INDIRECT($P$4),S$4,0))</f>
        <v>25.619</v>
      </c>
      <c r="T10" s="91" cm="1">
        <f t="array" aca="1" ref="T10" ca="1">IF($O10="Y",VLOOKUP($P10,INDIRECT($P$4),T$4,0)*INDIRECT($O$1),VLOOKUP($P10,INDIRECT($P$4),T$4,0))</f>
        <v>26.917999999999999</v>
      </c>
      <c r="U10" s="91" cm="1">
        <f t="array" aca="1" ref="U10" ca="1">IF($O10="Y",VLOOKUP($P10,INDIRECT($P$4),U$4,0)*INDIRECT($O$1),VLOOKUP($P10,INDIRECT($P$4),U$4,0))</f>
        <v>28.954000000000001</v>
      </c>
      <c r="V10" s="91" cm="1">
        <f t="array" aca="1" ref="V10" ca="1">IF($O10="Y",VLOOKUP($P10,INDIRECT($P$4),V$4,0)*INDIRECT($O$1),VLOOKUP($P10,INDIRECT($P$4),V$4,0))</f>
        <v>29.646999999999998</v>
      </c>
      <c r="X10" s="94" t="str">
        <f t="shared" si="4"/>
        <v>02235C</v>
      </c>
      <c r="Y10" s="94" t="str">
        <f t="shared" si="5"/>
        <v>Commercial Meter Service Worker**</v>
      </c>
      <c r="Z10" s="98" t="str">
        <f t="shared" si="6"/>
        <v>05</v>
      </c>
      <c r="AA10" s="99">
        <f t="shared" ca="1" si="7"/>
        <v>25.619</v>
      </c>
      <c r="AB10" s="99">
        <f t="shared" ca="1" si="8"/>
        <v>26.917999999999999</v>
      </c>
      <c r="AC10" s="99">
        <f t="shared" ca="1" si="9"/>
        <v>28.954000000000001</v>
      </c>
      <c r="AD10" s="99">
        <f t="shared" ca="1" si="9"/>
        <v>29.646999999999998</v>
      </c>
    </row>
    <row r="11" spans="2:30" x14ac:dyDescent="0.25">
      <c r="B11" s="11" t="s">
        <v>8</v>
      </c>
      <c r="C11" s="11">
        <v>2</v>
      </c>
      <c r="D11" s="12" t="s">
        <v>17</v>
      </c>
      <c r="E11" s="66" t="s">
        <v>18</v>
      </c>
      <c r="F11" s="6" t="s">
        <v>83</v>
      </c>
      <c r="G11" s="3">
        <v>268</v>
      </c>
      <c r="H11" s="3">
        <v>5</v>
      </c>
      <c r="I11" s="3" t="s">
        <v>12</v>
      </c>
      <c r="J11" s="50">
        <f>ROUND(VLOOKUP($D11,'March 2021'!$D$6:$M$13,7,0),3)</f>
        <v>24.373999999999999</v>
      </c>
      <c r="K11" s="50">
        <f>ROUND(VLOOKUP($D11,'March 2021'!$D$6:$M$13,8,0),3)</f>
        <v>25.59</v>
      </c>
      <c r="L11" s="50">
        <f>ROUND(VLOOKUP($D11,'March 2021'!$D$6:$M$13,9,0),3)</f>
        <v>27.521000000000001</v>
      </c>
      <c r="M11" s="50">
        <f>ROUND(VLOOKUP($D11,'March 2021'!$D$6:$M$13,10,0),3)</f>
        <v>28.193000000000001</v>
      </c>
      <c r="O11" s="85" t="s">
        <v>8</v>
      </c>
      <c r="P11" s="86" t="str">
        <f t="shared" si="1"/>
        <v>08890C</v>
      </c>
      <c r="Q11" s="85" t="str">
        <f t="shared" si="2"/>
        <v>Residential Meter Service Worker**</v>
      </c>
      <c r="R11" s="90" t="str">
        <f t="shared" si="3"/>
        <v>06</v>
      </c>
      <c r="S11" s="91" cm="1">
        <f t="array" aca="1" ref="S11" ca="1">IF($O11="Y",VLOOKUP($P11,INDIRECT($P$4),S$4,0)*INDIRECT($O$1),VLOOKUP($P11,INDIRECT($P$4),S$4,0))</f>
        <v>24.373999999999999</v>
      </c>
      <c r="T11" s="91" cm="1">
        <f t="array" aca="1" ref="T11" ca="1">IF($O11="Y",VLOOKUP($P11,INDIRECT($P$4),T$4,0)*INDIRECT($O$1),VLOOKUP($P11,INDIRECT($P$4),T$4,0))</f>
        <v>25.59</v>
      </c>
      <c r="U11" s="91" cm="1">
        <f t="array" aca="1" ref="U11" ca="1">IF($O11="Y",VLOOKUP($P11,INDIRECT($P$4),U$4,0)*INDIRECT($O$1),VLOOKUP($P11,INDIRECT($P$4),U$4,0))</f>
        <v>27.521000000000001</v>
      </c>
      <c r="V11" s="91" cm="1">
        <f t="array" aca="1" ref="V11" ca="1">IF($O11="Y",VLOOKUP($P11,INDIRECT($P$4),V$4,0)*INDIRECT($O$1),VLOOKUP($P11,INDIRECT($P$4),V$4,0))</f>
        <v>28.193000000000001</v>
      </c>
      <c r="X11" s="94" t="str">
        <f t="shared" si="4"/>
        <v>08890C</v>
      </c>
      <c r="Y11" s="94" t="str">
        <f t="shared" si="5"/>
        <v>Residential Meter Service Worker**</v>
      </c>
      <c r="Z11" s="98" t="str">
        <f t="shared" si="6"/>
        <v>06</v>
      </c>
      <c r="AA11" s="99">
        <f t="shared" ca="1" si="7"/>
        <v>24.373999999999999</v>
      </c>
      <c r="AB11" s="99">
        <f t="shared" ca="1" si="8"/>
        <v>25.59</v>
      </c>
      <c r="AC11" s="99">
        <f t="shared" ca="1" si="9"/>
        <v>27.521000000000001</v>
      </c>
      <c r="AD11" s="99">
        <f t="shared" ca="1" si="9"/>
        <v>28.193000000000001</v>
      </c>
    </row>
    <row r="12" spans="2:30" x14ac:dyDescent="0.25">
      <c r="B12" s="11" t="s">
        <v>8</v>
      </c>
      <c r="C12" s="11">
        <v>2</v>
      </c>
      <c r="D12" s="12" t="s">
        <v>20</v>
      </c>
      <c r="E12" s="66" t="s">
        <v>10</v>
      </c>
      <c r="F12" s="6" t="s">
        <v>84</v>
      </c>
      <c r="G12" s="3">
        <v>250</v>
      </c>
      <c r="H12" s="3">
        <v>5</v>
      </c>
      <c r="I12" s="3" t="s">
        <v>12</v>
      </c>
      <c r="J12" s="50">
        <f>ROUND(VLOOKUP($D12,'March 2021'!$D$6:$M$13,7,0),3)</f>
        <v>24.4</v>
      </c>
      <c r="K12" s="50">
        <f>ROUND(VLOOKUP($D12,'March 2021'!$D$6:$M$13,8,0),3)</f>
        <v>25.925999999999998</v>
      </c>
      <c r="L12" s="50">
        <f>ROUND(VLOOKUP($D12,'March 2021'!$D$6:$M$13,9,0),3)</f>
        <v>27.291</v>
      </c>
      <c r="M12" s="50">
        <f>ROUND(VLOOKUP($D12,'March 2021'!$D$6:$M$13,10,0),3)</f>
        <v>27.576000000000001</v>
      </c>
      <c r="O12" s="85" t="s">
        <v>8</v>
      </c>
      <c r="P12" s="86" t="str">
        <f t="shared" si="1"/>
        <v>10940C</v>
      </c>
      <c r="Q12" s="85" t="str">
        <f t="shared" si="2"/>
        <v>Water Works Service Worker I**</v>
      </c>
      <c r="R12" s="90" t="str">
        <f t="shared" si="3"/>
        <v>07</v>
      </c>
      <c r="S12" s="91" cm="1">
        <f t="array" aca="1" ref="S12" ca="1">IF($O12="Y",VLOOKUP($P12,INDIRECT($P$4),S$4,0)*INDIRECT($O$1),VLOOKUP($P12,INDIRECT($P$4),S$4,0))</f>
        <v>24.4</v>
      </c>
      <c r="T12" s="91" cm="1">
        <f t="array" aca="1" ref="T12" ca="1">IF($O12="Y",VLOOKUP($P12,INDIRECT($P$4),T$4,0)*INDIRECT($O$1),VLOOKUP($P12,INDIRECT($P$4),T$4,0))</f>
        <v>25.925999999999998</v>
      </c>
      <c r="U12" s="91" cm="1">
        <f t="array" aca="1" ref="U12" ca="1">IF($O12="Y",VLOOKUP($P12,INDIRECT($P$4),U$4,0)*INDIRECT($O$1),VLOOKUP($P12,INDIRECT($P$4),U$4,0))</f>
        <v>27.291</v>
      </c>
      <c r="V12" s="91" cm="1">
        <f t="array" aca="1" ref="V12" ca="1">IF($O12="Y",VLOOKUP($P12,INDIRECT($P$4),V$4,0)*INDIRECT($O$1),VLOOKUP($P12,INDIRECT($P$4),V$4,0))</f>
        <v>27.576000000000001</v>
      </c>
      <c r="X12" s="94" t="str">
        <f t="shared" si="4"/>
        <v>10940C</v>
      </c>
      <c r="Y12" s="94" t="str">
        <f t="shared" si="5"/>
        <v>Water Works Service Worker I**</v>
      </c>
      <c r="Z12" s="98" t="str">
        <f t="shared" si="6"/>
        <v>07</v>
      </c>
      <c r="AA12" s="99">
        <f t="shared" ca="1" si="7"/>
        <v>24.4</v>
      </c>
      <c r="AB12" s="99">
        <f t="shared" ca="1" si="8"/>
        <v>25.925999999999998</v>
      </c>
      <c r="AC12" s="99">
        <f t="shared" ca="1" si="9"/>
        <v>27.291</v>
      </c>
      <c r="AD12" s="99">
        <f t="shared" ca="1" si="9"/>
        <v>27.576000000000001</v>
      </c>
    </row>
    <row r="13" spans="2:30" x14ac:dyDescent="0.25">
      <c r="B13" s="11" t="s">
        <v>8</v>
      </c>
      <c r="C13" s="11">
        <v>2</v>
      </c>
      <c r="D13" s="12" t="s">
        <v>23</v>
      </c>
      <c r="E13" s="66" t="s">
        <v>24</v>
      </c>
      <c r="F13" s="6" t="s">
        <v>85</v>
      </c>
      <c r="G13" s="3">
        <v>285</v>
      </c>
      <c r="H13" s="3">
        <v>6</v>
      </c>
      <c r="I13" s="3" t="s">
        <v>12</v>
      </c>
      <c r="J13" s="50">
        <f>ROUND(VLOOKUP($D13,'March 2021'!$D$6:$M$13,7,0),3)</f>
        <v>25.672000000000001</v>
      </c>
      <c r="K13" s="50">
        <f>ROUND(VLOOKUP($D13,'March 2021'!$D$6:$M$13,8,0),3)</f>
        <v>26.821999999999999</v>
      </c>
      <c r="L13" s="50">
        <f>ROUND(VLOOKUP($D13,'March 2021'!$D$6:$M$13,9,0),3)</f>
        <v>28.625</v>
      </c>
      <c r="M13" s="50">
        <f>ROUND(VLOOKUP($D13,'March 2021'!$D$6:$M$13,10,0),3)</f>
        <v>29.34</v>
      </c>
      <c r="O13" s="85" t="s">
        <v>8</v>
      </c>
      <c r="P13" s="86" t="str">
        <f t="shared" si="1"/>
        <v>10950C</v>
      </c>
      <c r="Q13" s="85" t="str">
        <f t="shared" si="2"/>
        <v>Water Works Service Worker II**</v>
      </c>
      <c r="R13" s="90" t="str">
        <f t="shared" si="3"/>
        <v>03</v>
      </c>
      <c r="S13" s="91" cm="1">
        <f t="array" aca="1" ref="S13" ca="1">IF($O13="Y",VLOOKUP($P13,INDIRECT($P$4),S$4,0)*INDIRECT($O$1),VLOOKUP($P13,INDIRECT($P$4),S$4,0))</f>
        <v>25.672000000000001</v>
      </c>
      <c r="T13" s="91" cm="1">
        <f t="array" aca="1" ref="T13" ca="1">IF($O13="Y",VLOOKUP($P13,INDIRECT($P$4),T$4,0)*INDIRECT($O$1),VLOOKUP($P13,INDIRECT($P$4),T$4,0))</f>
        <v>26.821999999999999</v>
      </c>
      <c r="U13" s="91" cm="1">
        <f t="array" aca="1" ref="U13" ca="1">IF($O13="Y",VLOOKUP($P13,INDIRECT($P$4),U$4,0)*INDIRECT($O$1),VLOOKUP($P13,INDIRECT($P$4),U$4,0))</f>
        <v>28.625</v>
      </c>
      <c r="V13" s="91" cm="1">
        <f t="array" aca="1" ref="V13" ca="1">IF($O13="Y",VLOOKUP($P13,INDIRECT($P$4),V$4,0)*INDIRECT($O$1),VLOOKUP($P13,INDIRECT($P$4),V$4,0))</f>
        <v>29.34</v>
      </c>
      <c r="X13" s="94" t="str">
        <f t="shared" si="4"/>
        <v>10950C</v>
      </c>
      <c r="Y13" s="94" t="str">
        <f t="shared" si="5"/>
        <v>Water Works Service Worker II**</v>
      </c>
      <c r="Z13" s="98" t="str">
        <f t="shared" si="6"/>
        <v>03</v>
      </c>
      <c r="AA13" s="99">
        <f t="shared" ca="1" si="7"/>
        <v>25.672000000000001</v>
      </c>
      <c r="AB13" s="99">
        <f t="shared" ca="1" si="8"/>
        <v>26.821999999999999</v>
      </c>
      <c r="AC13" s="99">
        <f t="shared" ca="1" si="9"/>
        <v>28.625</v>
      </c>
      <c r="AD13" s="99">
        <f t="shared" ca="1" si="9"/>
        <v>29.34</v>
      </c>
    </row>
    <row r="14" spans="2:30" ht="30" customHeight="1" x14ac:dyDescent="0.25">
      <c r="B14" s="132" t="s">
        <v>94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</row>
    <row r="15" spans="2:30" x14ac:dyDescent="0.25">
      <c r="B15" s="11"/>
      <c r="C15" s="11"/>
      <c r="D15" s="12"/>
      <c r="E15" s="66"/>
      <c r="F15" s="6"/>
      <c r="G15" s="3"/>
      <c r="H15" s="3"/>
      <c r="I15" s="3"/>
      <c r="J15" s="40"/>
      <c r="K15" s="40"/>
      <c r="L15" s="40"/>
      <c r="M15" s="40"/>
    </row>
    <row r="16" spans="2:30" x14ac:dyDescent="0.25">
      <c r="B16" s="17" t="s">
        <v>26</v>
      </c>
      <c r="C16" s="2"/>
      <c r="D16" s="2"/>
      <c r="E16" s="64"/>
      <c r="F16" s="17"/>
      <c r="G16" s="2"/>
      <c r="H16" s="2"/>
      <c r="I16" s="2"/>
      <c r="J16" s="2"/>
      <c r="K16" s="2"/>
      <c r="L16" s="2"/>
      <c r="M16" s="2"/>
    </row>
    <row r="17" spans="1:27" x14ac:dyDescent="0.25">
      <c r="B17" s="18" t="s">
        <v>27</v>
      </c>
      <c r="C17" s="19"/>
      <c r="D17" s="19"/>
      <c r="E17" s="67"/>
      <c r="F17" s="19"/>
      <c r="G17" s="19"/>
      <c r="H17" s="19"/>
      <c r="I17" s="19"/>
      <c r="J17" s="80"/>
      <c r="K17" s="80"/>
      <c r="L17" s="80"/>
      <c r="M17" s="80"/>
    </row>
    <row r="18" spans="1:27" x14ac:dyDescent="0.25">
      <c r="B18" s="18" t="s">
        <v>28</v>
      </c>
      <c r="C18" s="19"/>
      <c r="D18" s="19"/>
      <c r="E18" s="67"/>
      <c r="F18" s="19"/>
      <c r="G18" s="19"/>
      <c r="H18" s="19"/>
      <c r="I18" s="19"/>
      <c r="J18" s="80"/>
      <c r="K18" s="80"/>
      <c r="L18" s="82"/>
      <c r="M18" s="80"/>
    </row>
    <row r="19" spans="1:27" x14ac:dyDescent="0.25">
      <c r="B19" s="20">
        <f ca="1">S19</f>
        <v>0.335175</v>
      </c>
      <c r="D19" s="18" t="s">
        <v>29</v>
      </c>
      <c r="E19" s="68"/>
      <c r="F19" s="19"/>
      <c r="G19" s="19"/>
      <c r="H19" s="19"/>
      <c r="I19" s="21"/>
      <c r="J19" s="21"/>
      <c r="K19" s="16"/>
      <c r="L19" s="21"/>
      <c r="M19" s="49"/>
      <c r="O19" s="85" t="s">
        <v>149</v>
      </c>
      <c r="P19" s="86" t="s">
        <v>127</v>
      </c>
      <c r="S19" s="91" cm="1">
        <f t="array" aca="1" ref="S19" ca="1">IF($O19="Y",VLOOKUP($P19,INDIRECT($P$4),S$4,0)*INDIRECT($O$1),VLOOKUP($P19,INDIRECT($P$4),S$4,0))</f>
        <v>0.335175</v>
      </c>
      <c r="X19" s="94" t="str">
        <f>P19</f>
        <v>Year 10</v>
      </c>
      <c r="AA19" s="99">
        <f t="shared" ref="AA19:AA22" ca="1" si="10">ROUND(S19,3)</f>
        <v>0.33500000000000002</v>
      </c>
    </row>
    <row r="20" spans="1:27" x14ac:dyDescent="0.25">
      <c r="B20" s="20">
        <f t="shared" ref="B20:B22" ca="1" si="11">S20</f>
        <v>0.46944999999999998</v>
      </c>
      <c r="D20" s="18" t="s">
        <v>30</v>
      </c>
      <c r="E20" s="68"/>
      <c r="F20" s="19"/>
      <c r="G20" s="19"/>
      <c r="H20" s="19"/>
      <c r="I20" s="21"/>
      <c r="J20" s="21"/>
      <c r="K20" s="16"/>
      <c r="L20" s="21"/>
      <c r="M20" s="49"/>
      <c r="O20" s="85" t="s">
        <v>149</v>
      </c>
      <c r="P20" s="86" t="s">
        <v>128</v>
      </c>
      <c r="S20" s="91" cm="1">
        <f t="array" aca="1" ref="S20" ca="1">IF($O20="Y",VLOOKUP($P20,INDIRECT($P$4),S$4,0)*INDIRECT($O$1),VLOOKUP($P20,INDIRECT($P$4),S$4,0))</f>
        <v>0.46944999999999998</v>
      </c>
      <c r="X20" s="94" t="str">
        <f t="shared" ref="X20:X22" si="12">P20</f>
        <v>Year 15</v>
      </c>
      <c r="AA20" s="99">
        <f t="shared" ca="1" si="10"/>
        <v>0.46899999999999997</v>
      </c>
    </row>
    <row r="21" spans="1:27" x14ac:dyDescent="0.25">
      <c r="B21" s="20">
        <f t="shared" ca="1" si="11"/>
        <v>0.56887500000000002</v>
      </c>
      <c r="D21" s="18" t="s">
        <v>31</v>
      </c>
      <c r="E21" s="68"/>
      <c r="F21" s="19"/>
      <c r="G21" s="19"/>
      <c r="H21" s="19"/>
      <c r="I21" s="21"/>
      <c r="J21" s="21"/>
      <c r="K21" s="16"/>
      <c r="L21" s="2"/>
      <c r="M21" s="49"/>
      <c r="O21" s="85" t="s">
        <v>149</v>
      </c>
      <c r="P21" s="86" t="s">
        <v>129</v>
      </c>
      <c r="S21" s="91" cm="1">
        <f t="array" aca="1" ref="S21" ca="1">IF($O21="Y",VLOOKUP($P21,INDIRECT($P$4),S$4,0)*INDIRECT($O$1),VLOOKUP($P21,INDIRECT($P$4),S$4,0))</f>
        <v>0.56887500000000002</v>
      </c>
      <c r="X21" s="94" t="str">
        <f t="shared" si="12"/>
        <v>Year 20</v>
      </c>
      <c r="AA21" s="99">
        <f t="shared" ca="1" si="10"/>
        <v>0.56899999999999995</v>
      </c>
    </row>
    <row r="22" spans="1:27" x14ac:dyDescent="0.25">
      <c r="B22" s="20">
        <f t="shared" ca="1" si="11"/>
        <v>0.66727499999999995</v>
      </c>
      <c r="D22" s="18" t="s">
        <v>32</v>
      </c>
      <c r="E22" s="67"/>
      <c r="F22" s="19"/>
      <c r="G22" s="19"/>
      <c r="H22" s="19"/>
      <c r="I22" s="21"/>
      <c r="J22" s="21"/>
      <c r="K22" s="16"/>
      <c r="L22" s="21"/>
      <c r="M22" s="49"/>
      <c r="O22" s="85" t="s">
        <v>149</v>
      </c>
      <c r="P22" s="86" t="s">
        <v>130</v>
      </c>
      <c r="S22" s="91" cm="1">
        <f t="array" aca="1" ref="S22" ca="1">IF($O22="Y",VLOOKUP($P22,INDIRECT($P$4),S$4,0)*INDIRECT($O$1),VLOOKUP($P22,INDIRECT($P$4),S$4,0))</f>
        <v>0.66727499999999995</v>
      </c>
      <c r="X22" s="94" t="str">
        <f t="shared" si="12"/>
        <v>Year 25</v>
      </c>
      <c r="AA22" s="99">
        <f t="shared" ca="1" si="10"/>
        <v>0.66700000000000004</v>
      </c>
    </row>
    <row r="23" spans="1:27" x14ac:dyDescent="0.25">
      <c r="B23" s="17"/>
      <c r="C23" s="2"/>
      <c r="D23" s="2"/>
      <c r="E23" s="64"/>
      <c r="F23" s="17"/>
      <c r="G23" s="2"/>
      <c r="H23" s="2"/>
      <c r="I23" s="2"/>
      <c r="K23" s="2"/>
      <c r="L23" s="2"/>
      <c r="M23" s="2"/>
    </row>
    <row r="24" spans="1:27" x14ac:dyDescent="0.25">
      <c r="B24" s="23" t="s">
        <v>33</v>
      </c>
      <c r="C24" s="21"/>
      <c r="D24" s="21"/>
      <c r="E24" s="69"/>
      <c r="F24" s="21"/>
      <c r="G24" s="21"/>
      <c r="H24" s="21"/>
      <c r="I24" s="21"/>
      <c r="J24" s="21"/>
      <c r="K24" s="21"/>
      <c r="L24" s="21"/>
      <c r="M24" s="21"/>
    </row>
    <row r="25" spans="1:27" x14ac:dyDescent="0.25">
      <c r="B25" s="18" t="s">
        <v>58</v>
      </c>
      <c r="C25" s="19"/>
      <c r="D25" s="19"/>
      <c r="E25" s="67"/>
      <c r="F25" s="19"/>
      <c r="G25" s="19"/>
      <c r="H25" s="19"/>
      <c r="I25" s="19"/>
      <c r="J25" s="21"/>
      <c r="K25" s="21"/>
      <c r="L25" s="21"/>
      <c r="M25" s="21"/>
    </row>
    <row r="26" spans="1:27" x14ac:dyDescent="0.25">
      <c r="B26" s="18" t="s">
        <v>105</v>
      </c>
      <c r="C26" s="19"/>
      <c r="D26" s="19"/>
      <c r="E26" s="67"/>
      <c r="F26" s="19"/>
      <c r="G26" s="74">
        <f ca="1">S26</f>
        <v>7.0000000000000007E-2</v>
      </c>
      <c r="H26" s="19" t="s">
        <v>106</v>
      </c>
      <c r="I26" s="19"/>
      <c r="J26" s="21"/>
      <c r="K26" s="21"/>
      <c r="L26" s="21"/>
      <c r="M26" s="21"/>
      <c r="O26" s="85" t="s">
        <v>8</v>
      </c>
      <c r="P26" s="86" t="s">
        <v>33</v>
      </c>
      <c r="S26" s="91" cm="1">
        <f t="array" aca="1" ref="S26" ca="1">IF($O26="Y",VLOOKUP($P26,INDIRECT($P$4),S$4,0)*INDIRECT($O$1),VLOOKUP($P26,INDIRECT($P$4),S$4,0))</f>
        <v>7.0000000000000007E-2</v>
      </c>
      <c r="X26" s="94" t="str">
        <f t="shared" ref="X26" si="13">P26</f>
        <v>Safety Shoes</v>
      </c>
      <c r="AA26" s="99">
        <f t="shared" ref="AA26" ca="1" si="14">ROUND(S26,3)</f>
        <v>7.0000000000000007E-2</v>
      </c>
    </row>
    <row r="27" spans="1:27" x14ac:dyDescent="0.25">
      <c r="B27" s="18"/>
      <c r="C27" s="19"/>
      <c r="D27" s="19"/>
      <c r="E27" s="67"/>
      <c r="F27" s="19"/>
      <c r="G27" s="19"/>
      <c r="H27" s="19"/>
      <c r="I27" s="19"/>
      <c r="J27" s="21"/>
      <c r="K27" s="21"/>
      <c r="L27" s="21"/>
      <c r="M27" s="21"/>
    </row>
    <row r="28" spans="1:27" x14ac:dyDescent="0.25">
      <c r="B28" s="24" t="s">
        <v>37</v>
      </c>
      <c r="C28" s="21"/>
      <c r="D28" s="21"/>
      <c r="E28" s="69"/>
      <c r="F28" s="21"/>
      <c r="G28" s="21"/>
      <c r="H28" s="21"/>
      <c r="I28" s="21"/>
      <c r="J28" s="21"/>
      <c r="K28" s="21"/>
      <c r="L28" s="21"/>
      <c r="M28" s="21"/>
    </row>
    <row r="29" spans="1:27" x14ac:dyDescent="0.25">
      <c r="B29" s="24" t="s">
        <v>38</v>
      </c>
      <c r="C29" s="21"/>
      <c r="D29" s="21"/>
      <c r="E29" s="69"/>
      <c r="F29" s="21"/>
      <c r="G29" s="21"/>
      <c r="H29" s="21"/>
      <c r="I29" s="21"/>
      <c r="J29" s="21"/>
      <c r="K29" s="21"/>
      <c r="L29" s="21"/>
      <c r="M29" s="21"/>
    </row>
    <row r="30" spans="1:27" x14ac:dyDescent="0.25">
      <c r="A30" t="s">
        <v>118</v>
      </c>
      <c r="B30" s="20">
        <f ca="1">S30</f>
        <v>0.36899999999999994</v>
      </c>
      <c r="D30" s="18" t="s">
        <v>59</v>
      </c>
      <c r="E30" s="67"/>
      <c r="F30" s="6"/>
      <c r="G30" s="19"/>
      <c r="H30" s="19"/>
      <c r="I30" s="19"/>
      <c r="J30" s="19"/>
      <c r="K30" s="19"/>
      <c r="L30" s="21"/>
      <c r="M30" s="49"/>
      <c r="O30" s="85" t="s">
        <v>149</v>
      </c>
      <c r="P30" s="86" t="s">
        <v>118</v>
      </c>
      <c r="Q30" s="85" t="s">
        <v>131</v>
      </c>
      <c r="S30" s="91" cm="1">
        <f t="array" aca="1" ref="S30" ca="1">IF($O30="Y",VLOOKUP($P30,INDIRECT($P$4),S$4,0)*INDIRECT($O$1),VLOOKUP($P30,INDIRECT($P$4),S$4,0))</f>
        <v>0.36899999999999994</v>
      </c>
      <c r="X30" s="94" t="str">
        <f t="shared" ref="X30:Y34" si="15">P30</f>
        <v>CAWGTT</v>
      </c>
      <c r="Y30" s="94" t="str">
        <f t="shared" si="15"/>
        <v>TL-Gate Truck Premium-CAW</v>
      </c>
      <c r="AA30" s="99">
        <f t="shared" ref="AA30:AA34" ca="1" si="16">ROUND(S30,3)</f>
        <v>0.36899999999999999</v>
      </c>
    </row>
    <row r="31" spans="1:27" x14ac:dyDescent="0.25">
      <c r="A31" s="4" t="s">
        <v>117</v>
      </c>
      <c r="B31" s="20">
        <f t="shared" ref="B31:B34" ca="1" si="17">S31</f>
        <v>0.36899999999999994</v>
      </c>
      <c r="D31" s="18" t="s">
        <v>40</v>
      </c>
      <c r="E31" s="67"/>
      <c r="F31" s="6"/>
      <c r="G31" s="19"/>
      <c r="H31" s="19"/>
      <c r="I31" s="19"/>
      <c r="J31" s="19"/>
      <c r="K31" s="19"/>
      <c r="L31" s="21"/>
      <c r="M31" s="49"/>
      <c r="O31" s="85" t="s">
        <v>149</v>
      </c>
      <c r="P31" s="86" t="s">
        <v>117</v>
      </c>
      <c r="Q31" s="85" t="s">
        <v>132</v>
      </c>
      <c r="S31" s="91" cm="1">
        <f t="array" aca="1" ref="S31" ca="1">IF($O31="Y",VLOOKUP($P31,INDIRECT($P$4),S$4,0)*INDIRECT($O$1),VLOOKUP($P31,INDIRECT($P$4),S$4,0))</f>
        <v>0.36899999999999994</v>
      </c>
      <c r="X31" s="94" t="str">
        <f t="shared" si="15"/>
        <v>CAWTAP</v>
      </c>
      <c r="Y31" s="94" t="str">
        <f t="shared" si="15"/>
        <v>TL-Small Taper Premium-CAW</v>
      </c>
      <c r="AA31" s="99">
        <f t="shared" ca="1" si="16"/>
        <v>0.36899999999999999</v>
      </c>
    </row>
    <row r="32" spans="1:27" x14ac:dyDescent="0.25">
      <c r="A32" t="s">
        <v>119</v>
      </c>
      <c r="B32" s="20">
        <f t="shared" ca="1" si="17"/>
        <v>0.88764999999999994</v>
      </c>
      <c r="D32" s="18" t="s">
        <v>41</v>
      </c>
      <c r="E32" s="67"/>
      <c r="F32" s="6"/>
      <c r="G32" s="19"/>
      <c r="H32" s="19"/>
      <c r="I32" s="19"/>
      <c r="J32" s="19"/>
      <c r="K32" s="19"/>
      <c r="L32" s="21"/>
      <c r="M32" s="49"/>
      <c r="O32" s="85" t="s">
        <v>149</v>
      </c>
      <c r="P32" s="86" t="s">
        <v>119</v>
      </c>
      <c r="Q32" s="85" t="s">
        <v>133</v>
      </c>
      <c r="S32" s="91" cm="1">
        <f t="array" aca="1" ref="S32" ca="1">IF($O32="Y",VLOOKUP($P32,INDIRECT($P$4),S$4,0)*INDIRECT($O$1),VLOOKUP($P32,INDIRECT($P$4),S$4,0))</f>
        <v>0.88764999999999994</v>
      </c>
      <c r="X32" s="94" t="str">
        <f t="shared" si="15"/>
        <v>CAWLEK</v>
      </c>
      <c r="Y32" s="94" t="str">
        <f t="shared" si="15"/>
        <v>TL-Leak Investigator/Loctr-CAW</v>
      </c>
      <c r="AA32" s="99">
        <f t="shared" ca="1" si="16"/>
        <v>0.88800000000000001</v>
      </c>
    </row>
    <row r="33" spans="1:30" x14ac:dyDescent="0.25">
      <c r="A33" t="s">
        <v>120</v>
      </c>
      <c r="B33" s="20">
        <f t="shared" ca="1" si="17"/>
        <v>0.41512499999999997</v>
      </c>
      <c r="D33" s="6" t="s">
        <v>42</v>
      </c>
      <c r="E33" s="68"/>
      <c r="F33" s="6"/>
      <c r="G33" s="6"/>
      <c r="H33" s="6"/>
      <c r="I33" s="6"/>
      <c r="J33" s="6"/>
      <c r="K33" s="6"/>
      <c r="L33" s="6"/>
      <c r="M33" s="49"/>
      <c r="O33" s="85" t="s">
        <v>149</v>
      </c>
      <c r="P33" s="86" t="s">
        <v>120</v>
      </c>
      <c r="Q33" s="85" t="s">
        <v>134</v>
      </c>
      <c r="S33" s="91" cm="1">
        <f t="array" aca="1" ref="S33" ca="1">IF($O33="Y",VLOOKUP($P33,INDIRECT($P$4),S$4,0)*INDIRECT($O$1),VLOOKUP($P33,INDIRECT($P$4),S$4,0))</f>
        <v>0.41512499999999997</v>
      </c>
      <c r="X33" s="94" t="str">
        <f t="shared" si="15"/>
        <v>CAWHWP</v>
      </c>
      <c r="Y33" s="94" t="str">
        <f t="shared" si="15"/>
        <v>TL-Hazwoper-CAW</v>
      </c>
      <c r="AA33" s="99">
        <f t="shared" ca="1" si="16"/>
        <v>0.41499999999999998</v>
      </c>
    </row>
    <row r="34" spans="1:30" x14ac:dyDescent="0.25">
      <c r="A34" t="s">
        <v>121</v>
      </c>
      <c r="B34" s="20">
        <f t="shared" ca="1" si="17"/>
        <v>1.212575</v>
      </c>
      <c r="D34" s="6" t="s">
        <v>43</v>
      </c>
      <c r="E34" s="68"/>
      <c r="F34" s="6"/>
      <c r="G34" s="6"/>
      <c r="H34" s="6"/>
      <c r="I34" s="6"/>
      <c r="J34" s="6"/>
      <c r="K34" s="6"/>
      <c r="L34" s="6"/>
      <c r="M34" s="49"/>
      <c r="O34" s="85" t="s">
        <v>149</v>
      </c>
      <c r="P34" s="86" t="s">
        <v>121</v>
      </c>
      <c r="Q34" s="85" t="s">
        <v>135</v>
      </c>
      <c r="S34" s="91" cm="1">
        <f t="array" aca="1" ref="S34" ca="1">IF($O34="Y",VLOOKUP($P34,INDIRECT($P$4),S$4,0)*INDIRECT($O$1),VLOOKUP($P34,INDIRECT($P$4),S$4,0))</f>
        <v>1.212575</v>
      </c>
      <c r="X34" s="94" t="str">
        <f t="shared" si="15"/>
        <v>CAWRSP</v>
      </c>
      <c r="Y34" s="94" t="str">
        <f t="shared" si="15"/>
        <v>TL-Respirator-CAW</v>
      </c>
      <c r="AA34" s="99">
        <f t="shared" ca="1" si="16"/>
        <v>1.2130000000000001</v>
      </c>
    </row>
    <row r="36" spans="1:30" s="26" customFormat="1" x14ac:dyDescent="0.25">
      <c r="B36" s="26" t="s">
        <v>60</v>
      </c>
      <c r="E36" s="70"/>
      <c r="O36" s="92"/>
      <c r="P36" s="93"/>
      <c r="Q36" s="92"/>
      <c r="R36" s="93"/>
      <c r="S36" s="93"/>
      <c r="T36" s="93"/>
      <c r="U36" s="93"/>
      <c r="V36" s="93"/>
      <c r="X36" s="100"/>
      <c r="Y36" s="100"/>
      <c r="Z36" s="100"/>
      <c r="AA36" s="100"/>
      <c r="AB36" s="100"/>
      <c r="AC36" s="100"/>
      <c r="AD36" s="100"/>
    </row>
    <row r="37" spans="1:30" x14ac:dyDescent="0.25">
      <c r="B37" s="26" t="s">
        <v>45</v>
      </c>
    </row>
    <row r="38" spans="1:30" x14ac:dyDescent="0.25">
      <c r="A38" t="s">
        <v>124</v>
      </c>
      <c r="B38" s="20">
        <f t="shared" ref="B38:B40" ca="1" si="18">S38</f>
        <v>0.59039999999999992</v>
      </c>
      <c r="D38" s="4" t="s">
        <v>61</v>
      </c>
      <c r="M38" s="21"/>
      <c r="O38" s="85" t="s">
        <v>149</v>
      </c>
      <c r="P38" s="86" t="s">
        <v>124</v>
      </c>
      <c r="Q38" s="85" t="s">
        <v>136</v>
      </c>
      <c r="S38" s="91" cm="1">
        <f t="array" aca="1" ref="S38" ca="1">IF($O38="Y",VLOOKUP($P38,INDIRECT($P$4),S$4,0)*INDIRECT($O$1),VLOOKUP($P38,INDIRECT($P$4),S$4,0))</f>
        <v>0.59039999999999992</v>
      </c>
      <c r="X38" s="94" t="str">
        <f t="shared" ref="X38:X40" si="19">P38</f>
        <v>CAWWOC</v>
      </c>
      <c r="Y38" s="94" t="str">
        <f t="shared" ref="Y38:Y40" si="20">Q38</f>
        <v>Water Operator Certification-C</v>
      </c>
      <c r="AA38" s="99">
        <f t="shared" ref="AA38:AA40" ca="1" si="21">ROUND(S38,3)</f>
        <v>0.59</v>
      </c>
    </row>
    <row r="39" spans="1:30" x14ac:dyDescent="0.25">
      <c r="A39" t="s">
        <v>123</v>
      </c>
      <c r="B39" s="20">
        <f t="shared" ca="1" si="18"/>
        <v>0.89072499999999988</v>
      </c>
      <c r="D39" s="4" t="s">
        <v>48</v>
      </c>
      <c r="M39" s="21"/>
      <c r="O39" s="85" t="s">
        <v>149</v>
      </c>
      <c r="P39" s="86" t="s">
        <v>123</v>
      </c>
      <c r="Q39" s="85" t="s">
        <v>137</v>
      </c>
      <c r="S39" s="91" cm="1">
        <f t="array" aca="1" ref="S39" ca="1">IF($O39="Y",VLOOKUP($P39,INDIRECT($P$4),S$4,0)*INDIRECT($O$1),VLOOKUP($P39,INDIRECT($P$4),S$4,0))</f>
        <v>0.89072499999999988</v>
      </c>
      <c r="X39" s="94" t="str">
        <f t="shared" si="19"/>
        <v>CAWWOB</v>
      </c>
      <c r="Y39" s="94" t="str">
        <f t="shared" si="20"/>
        <v>Water Operator Certification-B</v>
      </c>
      <c r="AA39" s="99">
        <f t="shared" ca="1" si="21"/>
        <v>0.89100000000000001</v>
      </c>
    </row>
    <row r="40" spans="1:30" x14ac:dyDescent="0.25">
      <c r="A40" t="s">
        <v>122</v>
      </c>
      <c r="B40" s="20">
        <f t="shared" ca="1" si="18"/>
        <v>1.1910499999999997</v>
      </c>
      <c r="D40" s="4" t="s">
        <v>49</v>
      </c>
      <c r="M40" s="21"/>
      <c r="O40" s="85" t="s">
        <v>149</v>
      </c>
      <c r="P40" s="86" t="s">
        <v>122</v>
      </c>
      <c r="Q40" s="85" t="s">
        <v>138</v>
      </c>
      <c r="S40" s="91" cm="1">
        <f t="array" aca="1" ref="S40" ca="1">IF($O40="Y",VLOOKUP($P40,INDIRECT($P$4),S$4,0)*INDIRECT($O$1),VLOOKUP($P40,INDIRECT($P$4),S$4,0))</f>
        <v>1.1910499999999997</v>
      </c>
      <c r="X40" s="94" t="str">
        <f t="shared" si="19"/>
        <v>CAWWOA</v>
      </c>
      <c r="Y40" s="94" t="str">
        <f t="shared" si="20"/>
        <v>Water Operator Certification-A</v>
      </c>
      <c r="AA40" s="99">
        <f t="shared" ca="1" si="21"/>
        <v>1.1910000000000001</v>
      </c>
    </row>
    <row r="42" spans="1:30" x14ac:dyDescent="0.25">
      <c r="B42" s="24" t="s">
        <v>50</v>
      </c>
      <c r="C42" s="27"/>
      <c r="D42" s="27"/>
      <c r="E42" s="72"/>
      <c r="F42" s="29"/>
      <c r="G42" s="29"/>
      <c r="H42" s="29"/>
      <c r="I42" s="29"/>
      <c r="J42" s="29"/>
      <c r="K42" s="29"/>
      <c r="L42" s="29"/>
      <c r="M42" s="29"/>
    </row>
    <row r="43" spans="1:30" x14ac:dyDescent="0.25">
      <c r="B43" s="30" t="s">
        <v>51</v>
      </c>
      <c r="C43" s="31"/>
      <c r="D43" s="31"/>
      <c r="E43" s="73"/>
      <c r="F43" s="33"/>
      <c r="G43" s="33"/>
      <c r="H43" s="33"/>
      <c r="I43" s="33"/>
      <c r="J43" s="33"/>
      <c r="K43" s="29"/>
      <c r="L43" s="29"/>
      <c r="M43" s="29"/>
    </row>
    <row r="44" spans="1:30" x14ac:dyDescent="0.25">
      <c r="A44" t="s">
        <v>125</v>
      </c>
      <c r="B44" s="22">
        <f ca="1">S44</f>
        <v>0.86019999999999996</v>
      </c>
      <c r="D44" s="18" t="s">
        <v>52</v>
      </c>
      <c r="E44" s="73"/>
      <c r="F44" s="33"/>
      <c r="G44" s="35"/>
      <c r="H44" s="35"/>
      <c r="I44" s="35"/>
      <c r="L44" s="33"/>
      <c r="M44" s="33"/>
      <c r="O44" s="85" t="s">
        <v>149</v>
      </c>
      <c r="P44" s="86" t="s">
        <v>125</v>
      </c>
      <c r="Q44" s="85" t="s">
        <v>139</v>
      </c>
      <c r="S44" s="91">
        <f ca="1">IF($O44="Y",VLOOKUP($P44,INDIRECT($P$4),S$4,0)*ShiftIncrPerc2022,VLOOKUP($P44,INDIRECT($P$4),S$4,0))</f>
        <v>0.86019999999999996</v>
      </c>
      <c r="X44" s="94" t="str">
        <f t="shared" ref="X44" si="22">P44</f>
        <v>CAWEVE</v>
      </c>
      <c r="Y44" s="94" t="str">
        <f t="shared" ref="Y44" si="23">Q44</f>
        <v>TL-Afternoon Shift Premium-CAW</v>
      </c>
      <c r="AA44" s="99">
        <f t="shared" ref="AA44" ca="1" si="24">ROUND(S44,3)</f>
        <v>0.86</v>
      </c>
    </row>
    <row r="45" spans="1:30" x14ac:dyDescent="0.25">
      <c r="B45" s="36"/>
      <c r="D45" s="37" t="s">
        <v>53</v>
      </c>
      <c r="E45" s="73"/>
      <c r="F45" s="33"/>
      <c r="G45" s="35"/>
      <c r="H45" s="35"/>
      <c r="I45" s="35"/>
      <c r="J45" s="33"/>
      <c r="K45" s="33"/>
      <c r="L45" s="33"/>
      <c r="M45" s="33"/>
    </row>
    <row r="46" spans="1:30" x14ac:dyDescent="0.25">
      <c r="B46" s="34"/>
      <c r="C46" s="36"/>
      <c r="D46" s="34"/>
      <c r="E46" s="73"/>
      <c r="F46" s="33"/>
      <c r="G46" s="35"/>
      <c r="H46" s="35"/>
      <c r="I46" s="35"/>
      <c r="J46" s="38"/>
      <c r="K46" s="39"/>
      <c r="L46" s="33"/>
      <c r="M46" s="33"/>
    </row>
    <row r="47" spans="1:30" x14ac:dyDescent="0.25">
      <c r="B47" s="30" t="s">
        <v>54</v>
      </c>
      <c r="C47" s="31"/>
      <c r="D47" s="31"/>
      <c r="E47" s="73"/>
      <c r="F47" s="33"/>
      <c r="G47" s="35"/>
      <c r="H47" s="35"/>
      <c r="I47" s="35"/>
      <c r="J47" s="33"/>
      <c r="K47" s="33"/>
      <c r="L47" s="33"/>
      <c r="M47" s="33"/>
    </row>
    <row r="48" spans="1:30" x14ac:dyDescent="0.25">
      <c r="A48" s="4" t="s">
        <v>126</v>
      </c>
      <c r="B48" s="22">
        <f ca="1">S48</f>
        <v>1.2828131249999999</v>
      </c>
      <c r="D48" s="18" t="s">
        <v>153</v>
      </c>
      <c r="E48" s="73"/>
      <c r="F48" s="29"/>
      <c r="G48" s="29"/>
      <c r="H48" s="35"/>
      <c r="I48" s="35"/>
      <c r="M48" s="33"/>
      <c r="O48" s="85" t="s">
        <v>149</v>
      </c>
      <c r="P48" s="86" t="s">
        <v>126</v>
      </c>
      <c r="Q48" s="85" t="s">
        <v>140</v>
      </c>
      <c r="S48" s="91" cm="1">
        <f t="array" aca="1" ref="S48" ca="1">IF($O48="Y",VLOOKUP($P48,INDIRECT($P$4),S$4,0)*INDIRECT($O$1),VLOOKUP($P48,INDIRECT($P$4),S$4,0))</f>
        <v>1.2828131249999999</v>
      </c>
      <c r="X48" s="94" t="str">
        <f t="shared" ref="X48" si="25">P48</f>
        <v>CAWNIT</v>
      </c>
      <c r="Y48" s="94" t="str">
        <f t="shared" ref="Y48" si="26">Q48</f>
        <v>TL-Night Shift Premium-CPL</v>
      </c>
      <c r="AA48" s="99">
        <f t="shared" ref="AA48" ca="1" si="27">ROUND(S48,3)</f>
        <v>1.2829999999999999</v>
      </c>
    </row>
    <row r="49" spans="2:13" x14ac:dyDescent="0.25">
      <c r="B49" s="36"/>
      <c r="D49" s="37" t="s">
        <v>53</v>
      </c>
      <c r="E49" s="73"/>
      <c r="F49" s="33"/>
      <c r="G49" s="35"/>
      <c r="H49" s="35"/>
      <c r="I49" s="35"/>
      <c r="J49" s="33"/>
      <c r="K49" s="33"/>
      <c r="L49" s="33"/>
      <c r="M49" s="33"/>
    </row>
  </sheetData>
  <mergeCells count="1">
    <mergeCell ref="B14:M14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335A-FB2B-462A-BC43-54AC01CB9F53}">
  <dimension ref="A1:AD60"/>
  <sheetViews>
    <sheetView showGridLines="0" topLeftCell="B1" workbookViewId="0">
      <selection activeCell="P7" sqref="P7:V43"/>
    </sheetView>
  </sheetViews>
  <sheetFormatPr defaultColWidth="9.140625" defaultRowHeight="15" x14ac:dyDescent="0.25"/>
  <cols>
    <col min="1" max="1" width="0" style="4" hidden="1" customWidth="1"/>
    <col min="2" max="2" width="10.42578125" style="4" customWidth="1"/>
    <col min="3" max="3" width="9.5703125" style="4" bestFit="1" customWidth="1"/>
    <col min="4" max="4" width="8.42578125" style="4" customWidth="1"/>
    <col min="5" max="5" width="7.140625" style="71" customWidth="1"/>
    <col min="6" max="6" width="42.5703125" style="4" customWidth="1"/>
    <col min="7" max="7" width="6.5703125" style="4" bestFit="1" customWidth="1"/>
    <col min="8" max="8" width="7.7109375" style="4" bestFit="1" customWidth="1"/>
    <col min="9" max="9" width="7.42578125" style="4" customWidth="1"/>
    <col min="10" max="12" width="8" style="4" customWidth="1"/>
    <col min="13" max="13" width="8.42578125" style="4" bestFit="1" customWidth="1"/>
    <col min="14" max="14" width="25.42578125" style="4" customWidth="1"/>
    <col min="15" max="15" width="19.85546875" style="85" hidden="1" customWidth="1"/>
    <col min="16" max="16" width="14.5703125" style="86" hidden="1" customWidth="1"/>
    <col min="17" max="17" width="33.85546875" style="85" hidden="1" customWidth="1"/>
    <col min="18" max="18" width="6.5703125" style="86" hidden="1" customWidth="1"/>
    <col min="19" max="22" width="7.5703125" style="86" hidden="1" customWidth="1"/>
    <col min="23" max="23" width="9.140625" style="4" hidden="1" customWidth="1"/>
    <col min="24" max="24" width="12.28515625" style="94" hidden="1" customWidth="1"/>
    <col min="25" max="25" width="33.85546875" style="94" hidden="1" customWidth="1"/>
    <col min="26" max="26" width="4.28515625" style="94" hidden="1" customWidth="1"/>
    <col min="27" max="27" width="7.5703125" style="99" hidden="1" customWidth="1"/>
    <col min="28" max="30" width="7.5703125" style="94" hidden="1" customWidth="1"/>
    <col min="31" max="16384" width="9.140625" style="4"/>
  </cols>
  <sheetData>
    <row r="1" spans="2:30" x14ac:dyDescent="0.25">
      <c r="B1" s="4" t="s">
        <v>191</v>
      </c>
    </row>
    <row r="2" spans="2:30" ht="18.75" x14ac:dyDescent="0.3">
      <c r="B2" s="1" t="s">
        <v>88</v>
      </c>
      <c r="C2" s="2"/>
      <c r="D2" s="2"/>
      <c r="E2" s="64"/>
      <c r="F2" s="2"/>
      <c r="G2" s="2"/>
      <c r="H2" s="3"/>
      <c r="I2" s="3"/>
      <c r="J2" s="3"/>
      <c r="O2" s="85" t="s">
        <v>179</v>
      </c>
      <c r="P2" s="101">
        <v>1.0249999999999999</v>
      </c>
      <c r="Q2" s="107" t="s">
        <v>159</v>
      </c>
      <c r="R2" s="91">
        <v>0.88800000000000001</v>
      </c>
    </row>
    <row r="3" spans="2:30" x14ac:dyDescent="0.25">
      <c r="B3" s="114" t="str">
        <f>"Effective January 1, 2023 ("&amp;TEXT(BaseIncrPerc2023-1,"#.00%")&amp;" increase)"</f>
        <v>Effective January 1, 2023 (2.50% increase)</v>
      </c>
      <c r="C3" s="2"/>
      <c r="D3" s="2"/>
      <c r="E3" s="64"/>
      <c r="F3" s="2"/>
      <c r="G3" s="2"/>
      <c r="H3" s="3"/>
      <c r="I3" s="3"/>
      <c r="J3" s="3"/>
      <c r="O3" s="85" t="s">
        <v>143</v>
      </c>
      <c r="P3" s="102" t="s">
        <v>155</v>
      </c>
    </row>
    <row r="4" spans="2:30" x14ac:dyDescent="0.25">
      <c r="B4" s="115" t="s">
        <v>74</v>
      </c>
      <c r="C4" s="2"/>
      <c r="D4" s="2"/>
      <c r="E4" s="64"/>
      <c r="F4" s="2"/>
      <c r="G4" s="2"/>
      <c r="H4" s="3"/>
      <c r="I4" s="3"/>
      <c r="J4" s="3"/>
      <c r="O4" s="85" t="s">
        <v>157</v>
      </c>
      <c r="P4" s="91">
        <v>0.03</v>
      </c>
      <c r="Q4" s="85" t="s">
        <v>162</v>
      </c>
    </row>
    <row r="5" spans="2:30" x14ac:dyDescent="0.25">
      <c r="B5" s="121" t="s">
        <v>184</v>
      </c>
      <c r="C5" s="2"/>
      <c r="D5" s="2"/>
      <c r="E5" s="64"/>
      <c r="F5" s="2"/>
      <c r="G5" s="2"/>
      <c r="H5" s="3"/>
      <c r="I5" s="3"/>
      <c r="J5" s="3"/>
      <c r="O5" s="85" t="s">
        <v>158</v>
      </c>
      <c r="P5" s="91">
        <v>0.125</v>
      </c>
      <c r="S5" s="86">
        <v>4</v>
      </c>
      <c r="T5" s="86">
        <v>5</v>
      </c>
      <c r="U5" s="86">
        <v>6</v>
      </c>
      <c r="V5" s="86">
        <v>7</v>
      </c>
    </row>
    <row r="6" spans="2:30" x14ac:dyDescent="0.25">
      <c r="B6" s="121"/>
      <c r="C6" s="2"/>
      <c r="D6" s="2"/>
      <c r="E6" s="64"/>
      <c r="F6" s="2"/>
      <c r="G6" s="2"/>
      <c r="H6" s="3"/>
      <c r="I6" s="3"/>
      <c r="J6" s="3"/>
      <c r="P6" s="91"/>
    </row>
    <row r="7" spans="2:30" s="10" customFormat="1" ht="30" x14ac:dyDescent="0.25">
      <c r="B7" s="7" t="s">
        <v>1</v>
      </c>
      <c r="C7" s="7" t="s">
        <v>70</v>
      </c>
      <c r="D7" s="7" t="s">
        <v>71</v>
      </c>
      <c r="E7" s="65" t="s">
        <v>86</v>
      </c>
      <c r="F7" s="8" t="s">
        <v>63</v>
      </c>
      <c r="G7" s="7" t="s">
        <v>3</v>
      </c>
      <c r="H7" s="7" t="s">
        <v>150</v>
      </c>
      <c r="I7" s="7" t="s">
        <v>69</v>
      </c>
      <c r="J7" s="7" t="s">
        <v>4</v>
      </c>
      <c r="K7" s="7" t="s">
        <v>5</v>
      </c>
      <c r="L7" s="7" t="s">
        <v>6</v>
      </c>
      <c r="M7" s="7" t="s">
        <v>7</v>
      </c>
      <c r="O7" s="87" t="s">
        <v>148</v>
      </c>
      <c r="P7" s="88" t="s">
        <v>71</v>
      </c>
      <c r="Q7" s="87" t="s">
        <v>141</v>
      </c>
      <c r="R7" s="88" t="s">
        <v>2</v>
      </c>
      <c r="S7" s="89" t="s">
        <v>4</v>
      </c>
      <c r="T7" s="89" t="s">
        <v>5</v>
      </c>
      <c r="U7" s="89" t="s">
        <v>6</v>
      </c>
      <c r="V7" s="89" t="s">
        <v>7</v>
      </c>
      <c r="X7" s="95" t="s">
        <v>71</v>
      </c>
      <c r="Y7" s="96" t="s">
        <v>141</v>
      </c>
      <c r="Z7" s="95" t="s">
        <v>2</v>
      </c>
      <c r="AA7" s="112" t="s">
        <v>4</v>
      </c>
      <c r="AB7" s="97" t="s">
        <v>5</v>
      </c>
      <c r="AC7" s="97" t="s">
        <v>6</v>
      </c>
      <c r="AD7" s="97" t="s">
        <v>7</v>
      </c>
    </row>
    <row r="8" spans="2:30" x14ac:dyDescent="0.25">
      <c r="B8" s="11" t="s">
        <v>8</v>
      </c>
      <c r="C8" s="11">
        <v>2</v>
      </c>
      <c r="D8" s="12" t="s">
        <v>96</v>
      </c>
      <c r="E8" s="66" t="s">
        <v>97</v>
      </c>
      <c r="F8" s="6" t="s">
        <v>98</v>
      </c>
      <c r="G8" s="3">
        <v>330</v>
      </c>
      <c r="H8" s="3">
        <v>7</v>
      </c>
      <c r="I8" s="3" t="s">
        <v>12</v>
      </c>
      <c r="J8" s="50">
        <f ca="1">S8</f>
        <v>32.365307499999993</v>
      </c>
      <c r="K8" s="50">
        <f t="shared" ref="K8:M8" ca="1" si="0">T8</f>
        <v>33.866650624999991</v>
      </c>
      <c r="L8" s="50">
        <f t="shared" ca="1" si="0"/>
        <v>35.445739999999986</v>
      </c>
      <c r="M8" s="50">
        <f t="shared" ca="1" si="0"/>
        <v>37.101524999999988</v>
      </c>
      <c r="N8" s="58"/>
      <c r="O8" s="85" t="s">
        <v>149</v>
      </c>
      <c r="P8" s="86" t="str">
        <f>D8</f>
        <v>52951C</v>
      </c>
      <c r="Q8" s="85" t="str">
        <f>F8</f>
        <v>Water Loss Specialist</v>
      </c>
      <c r="R8" s="90" t="str">
        <f>E8</f>
        <v>09</v>
      </c>
      <c r="S8" s="91" cm="1">
        <f t="array" aca="1" ref="S8" ca="1">IF($O8="Y",VLOOKUP($P8,INDIRECT($P$3),S$5,0)*INDIRECT($O$2),VLOOKUP($P8,INDIRECT($P$3),S$5,0))+ShoePremium+LeakLocaterPrem2</f>
        <v>32.365307499999993</v>
      </c>
      <c r="T8" s="91" cm="1">
        <f t="array" aca="1" ref="T8" ca="1">IF($O8="Y",VLOOKUP($P8,INDIRECT($P$3),T$5,0)*INDIRECT($O$2),VLOOKUP($P8,INDIRECT($P$3),T$5,0))+ShoePremium+LeakLocaterPrem2</f>
        <v>33.866650624999991</v>
      </c>
      <c r="U8" s="91" cm="1">
        <f t="array" aca="1" ref="U8" ca="1">IF($O8="Y",VLOOKUP($P8,INDIRECT($P$3),U$5,0)*INDIRECT($O$2),VLOOKUP($P8,INDIRECT($P$3),U$5,0))+ShoePremium+LeakLocaterPrem2</f>
        <v>35.445739999999986</v>
      </c>
      <c r="V8" s="91" cm="1">
        <f t="array" aca="1" ref="V8" ca="1">IF($O8="Y",VLOOKUP($P8,INDIRECT($P$3),V$5,0)*INDIRECT($O$2),VLOOKUP($P8,INDIRECT($P$3),V$5,0))+ShoePremium+LeakLocaterPrem2</f>
        <v>37.101524999999988</v>
      </c>
      <c r="X8" s="94" t="str">
        <f>P8</f>
        <v>52951C</v>
      </c>
      <c r="Y8" s="94" t="str">
        <f>Q8</f>
        <v>Water Loss Specialist</v>
      </c>
      <c r="Z8" s="98" t="str">
        <f>R8</f>
        <v>09</v>
      </c>
      <c r="AA8" s="99">
        <f ca="1">ROUND(S8,3)</f>
        <v>32.365000000000002</v>
      </c>
      <c r="AB8" s="99">
        <f t="shared" ref="AB8:AD8" ca="1" si="1">ROUND(T8,3)</f>
        <v>33.866999999999997</v>
      </c>
      <c r="AC8" s="99">
        <f t="shared" ca="1" si="1"/>
        <v>35.445999999999998</v>
      </c>
      <c r="AD8" s="99">
        <f t="shared" ca="1" si="1"/>
        <v>37.101999999999997</v>
      </c>
    </row>
    <row r="9" spans="2:30" x14ac:dyDescent="0.25">
      <c r="B9" s="11" t="s">
        <v>8</v>
      </c>
      <c r="C9" s="11">
        <v>2</v>
      </c>
      <c r="D9" s="60" t="s">
        <v>75</v>
      </c>
      <c r="E9" s="66" t="s">
        <v>113</v>
      </c>
      <c r="F9" s="6" t="s">
        <v>87</v>
      </c>
      <c r="G9" s="3" t="s">
        <v>62</v>
      </c>
      <c r="H9" s="3" t="s">
        <v>76</v>
      </c>
      <c r="I9" s="3" t="s">
        <v>12</v>
      </c>
      <c r="J9" s="50">
        <f t="shared" ref="J9" ca="1" si="2">S9</f>
        <v>20.189368124999998</v>
      </c>
      <c r="K9" s="51" t="str">
        <f ca="1">TEXT(T9,"$#.000")&amp;"*"</f>
        <v>$22.344*</v>
      </c>
      <c r="L9" s="40"/>
      <c r="M9" s="40"/>
      <c r="O9" s="85" t="s">
        <v>149</v>
      </c>
      <c r="P9" s="86" t="str">
        <f t="shared" ref="P9:P11" si="3">D9</f>
        <v>52917C</v>
      </c>
      <c r="Q9" s="85" t="str">
        <f t="shared" ref="Q9:Q11" si="4">F9</f>
        <v>Water Distribution Operator Trainee</v>
      </c>
      <c r="R9" s="90" t="str">
        <f t="shared" ref="R9:R11" si="5">E9</f>
        <v>04</v>
      </c>
      <c r="S9" s="91" cm="1">
        <f t="array" aca="1" ref="S9" ca="1">IF($O9="Y",VLOOKUP($P9,INDIRECT($P$3),S$5,0)*INDIRECT($O$2),VLOOKUP($P9,INDIRECT($P$3),S$5,0))+ShoePremium+LeakLocaterPremium</f>
        <v>20.189368124999998</v>
      </c>
      <c r="T9" s="91">
        <f ca="1">S9+2+ShoePremium+LeakLocaterPremium</f>
        <v>22.344368124999999</v>
      </c>
      <c r="U9" s="91"/>
      <c r="V9" s="91"/>
      <c r="X9" s="94" t="str">
        <f t="shared" ref="X9:Z11" si="6">P9</f>
        <v>52917C</v>
      </c>
      <c r="Y9" s="94" t="str">
        <f t="shared" si="6"/>
        <v>Water Distribution Operator Trainee</v>
      </c>
      <c r="Z9" s="98" t="str">
        <f t="shared" si="6"/>
        <v>04</v>
      </c>
      <c r="AA9" s="99">
        <f t="shared" ref="AA9:AD11" ca="1" si="7">ROUND(S9,3)</f>
        <v>20.189</v>
      </c>
      <c r="AB9" s="99">
        <f t="shared" ca="1" si="7"/>
        <v>22.344000000000001</v>
      </c>
      <c r="AC9" s="99"/>
      <c r="AD9" s="99"/>
    </row>
    <row r="10" spans="2:30" x14ac:dyDescent="0.25">
      <c r="B10" s="11" t="s">
        <v>8</v>
      </c>
      <c r="C10" s="11">
        <v>2</v>
      </c>
      <c r="D10" s="80" t="s">
        <v>90</v>
      </c>
      <c r="E10" s="61" t="s">
        <v>21</v>
      </c>
      <c r="F10" s="6" t="s">
        <v>56</v>
      </c>
      <c r="G10" s="3">
        <v>265</v>
      </c>
      <c r="H10" s="3">
        <v>5</v>
      </c>
      <c r="I10" s="3" t="s">
        <v>12</v>
      </c>
      <c r="J10" s="50">
        <f t="shared" ref="J10:J11" ca="1" si="8">S10</f>
        <v>27.322061249999997</v>
      </c>
      <c r="K10" s="50">
        <f t="shared" ref="K10:K11" ca="1" si="9">T10</f>
        <v>28.675266249999996</v>
      </c>
      <c r="L10" s="50">
        <f t="shared" ref="L10:L11" ca="1" si="10">U10</f>
        <v>30.097812499999996</v>
      </c>
      <c r="M10" s="50">
        <f t="shared" ref="M10:M11" ca="1" si="11">V10</f>
        <v>31.591801249999996</v>
      </c>
      <c r="N10" s="58"/>
      <c r="O10" s="85" t="s">
        <v>149</v>
      </c>
      <c r="P10" s="86" t="str">
        <f t="shared" si="3"/>
        <v>52938C</v>
      </c>
      <c r="Q10" s="85" t="str">
        <f t="shared" si="4"/>
        <v>Water Distribution Operator</v>
      </c>
      <c r="R10" s="90" t="str">
        <f t="shared" si="5"/>
        <v>01</v>
      </c>
      <c r="S10" s="91" cm="1">
        <f t="array" aca="1" ref="S10" ca="1">IF($O10="Y",VLOOKUP($P10,INDIRECT($P$3),S$5,0)*INDIRECT($O$2),VLOOKUP($P10,INDIRECT($P$3),S$5,0))+ShoePremium+LeakLocaterPremium</f>
        <v>27.322061249999997</v>
      </c>
      <c r="T10" s="91" cm="1">
        <f t="array" aca="1" ref="T10" ca="1">IF($O10="Y",VLOOKUP($P10,INDIRECT($P$3),T$5,0)*INDIRECT($O$2),VLOOKUP($P10,INDIRECT($P$3),T$5,0))+ShoePremium+LeakLocaterPremium</f>
        <v>28.675266249999996</v>
      </c>
      <c r="U10" s="91" cm="1">
        <f t="array" aca="1" ref="U10" ca="1">IF($O10="Y",VLOOKUP($P10,INDIRECT($P$3),U$5,0)*INDIRECT($O$2),VLOOKUP($P10,INDIRECT($P$3),U$5,0))+ShoePremium+LeakLocaterPremium</f>
        <v>30.097812499999996</v>
      </c>
      <c r="V10" s="91" cm="1">
        <f t="array" aca="1" ref="V10" ca="1">IF($O10="Y",VLOOKUP($P10,INDIRECT($P$3),V$5,0)*INDIRECT($O$2),VLOOKUP($P10,INDIRECT($P$3),V$5,0))+ShoePremium+LeakLocaterPremium</f>
        <v>31.591801249999996</v>
      </c>
      <c r="X10" s="94" t="str">
        <f t="shared" si="6"/>
        <v>52938C</v>
      </c>
      <c r="Y10" s="94" t="str">
        <f t="shared" si="6"/>
        <v>Water Distribution Operator</v>
      </c>
      <c r="Z10" s="98" t="str">
        <f t="shared" si="6"/>
        <v>01</v>
      </c>
      <c r="AA10" s="99">
        <f t="shared" ca="1" si="7"/>
        <v>27.321999999999999</v>
      </c>
      <c r="AB10" s="99">
        <f t="shared" ca="1" si="7"/>
        <v>28.675000000000001</v>
      </c>
      <c r="AC10" s="99">
        <f t="shared" ca="1" si="7"/>
        <v>30.097999999999999</v>
      </c>
      <c r="AD10" s="99">
        <f t="shared" ca="1" si="7"/>
        <v>31.591999999999999</v>
      </c>
    </row>
    <row r="11" spans="2:30" x14ac:dyDescent="0.25">
      <c r="B11" s="55" t="s">
        <v>8</v>
      </c>
      <c r="C11" s="55">
        <v>2</v>
      </c>
      <c r="D11" s="81" t="s">
        <v>91</v>
      </c>
      <c r="E11" s="63" t="s">
        <v>92</v>
      </c>
      <c r="F11" s="56" t="s">
        <v>57</v>
      </c>
      <c r="G11" s="57">
        <v>310</v>
      </c>
      <c r="H11" s="57">
        <v>6</v>
      </c>
      <c r="I11" s="57" t="s">
        <v>12</v>
      </c>
      <c r="J11" s="59">
        <f t="shared" ca="1" si="8"/>
        <v>29.137541249999995</v>
      </c>
      <c r="K11" s="59">
        <f t="shared" ca="1" si="9"/>
        <v>30.524366249999996</v>
      </c>
      <c r="L11" s="59">
        <f t="shared" ca="1" si="10"/>
        <v>31.978431249999993</v>
      </c>
      <c r="M11" s="59">
        <f t="shared" ca="1" si="11"/>
        <v>33.501837499999993</v>
      </c>
      <c r="O11" s="85" t="s">
        <v>149</v>
      </c>
      <c r="P11" s="86" t="str">
        <f t="shared" si="3"/>
        <v>52939C</v>
      </c>
      <c r="Q11" s="85" t="str">
        <f t="shared" si="4"/>
        <v>Senior Water Distribution Operator</v>
      </c>
      <c r="R11" s="90" t="str">
        <f t="shared" si="5"/>
        <v>02</v>
      </c>
      <c r="S11" s="91" cm="1">
        <f t="array" aca="1" ref="S11" ca="1">IF($O11="Y",VLOOKUP($P11,INDIRECT($P$3),S$5,0)*INDIRECT($O$2),VLOOKUP($P11,INDIRECT($P$3),S$5,0))+ShoePremium+LeakLocaterPremium</f>
        <v>29.137541249999995</v>
      </c>
      <c r="T11" s="91" cm="1">
        <f t="array" aca="1" ref="T11" ca="1">IF($O11="Y",VLOOKUP($P11,INDIRECT($P$3),T$5,0)*INDIRECT($O$2),VLOOKUP($P11,INDIRECT($P$3),T$5,0))+ShoePremium+LeakLocaterPremium</f>
        <v>30.524366249999996</v>
      </c>
      <c r="U11" s="91" cm="1">
        <f t="array" aca="1" ref="U11" ca="1">IF($O11="Y",VLOOKUP($P11,INDIRECT($P$3),U$5,0)*INDIRECT($O$2),VLOOKUP($P11,INDIRECT($P$3),U$5,0))+ShoePremium+LeakLocaterPremium</f>
        <v>31.978431249999993</v>
      </c>
      <c r="V11" s="91" cm="1">
        <f t="array" aca="1" ref="V11" ca="1">IF($O11="Y",VLOOKUP($P11,INDIRECT($P$3),V$5,0)*INDIRECT($O$2),VLOOKUP($P11,INDIRECT($P$3),V$5,0))+ShoePremium+LeakLocaterPremium</f>
        <v>33.501837499999993</v>
      </c>
      <c r="X11" s="94" t="str">
        <f t="shared" si="6"/>
        <v>52939C</v>
      </c>
      <c r="Y11" s="94" t="str">
        <f t="shared" si="6"/>
        <v>Senior Water Distribution Operator</v>
      </c>
      <c r="Z11" s="98" t="str">
        <f t="shared" si="6"/>
        <v>02</v>
      </c>
      <c r="AA11" s="99">
        <f t="shared" ca="1" si="7"/>
        <v>29.138000000000002</v>
      </c>
      <c r="AB11" s="99">
        <f t="shared" ca="1" si="7"/>
        <v>30.524000000000001</v>
      </c>
      <c r="AC11" s="99">
        <f t="shared" ca="1" si="7"/>
        <v>31.978000000000002</v>
      </c>
      <c r="AD11" s="99">
        <f t="shared" ca="1" si="7"/>
        <v>33.502000000000002</v>
      </c>
    </row>
    <row r="12" spans="2:30" x14ac:dyDescent="0.25">
      <c r="B12" s="132" t="s">
        <v>161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</row>
    <row r="13" spans="2:30" x14ac:dyDescent="0.25">
      <c r="B13" s="11"/>
      <c r="C13" s="11"/>
      <c r="D13" s="12"/>
      <c r="E13" s="66"/>
      <c r="F13" s="6"/>
      <c r="G13" s="3"/>
      <c r="H13" s="3"/>
      <c r="I13" s="3"/>
      <c r="J13" s="40"/>
      <c r="K13" s="40"/>
      <c r="L13" s="40"/>
      <c r="M13" s="40"/>
    </row>
    <row r="14" spans="2:30" x14ac:dyDescent="0.25">
      <c r="B14" s="17" t="s">
        <v>26</v>
      </c>
      <c r="C14" s="2"/>
      <c r="D14" s="2"/>
      <c r="E14" s="64"/>
      <c r="F14" s="17"/>
      <c r="G14" s="2"/>
      <c r="H14" s="2"/>
      <c r="I14" s="2"/>
      <c r="J14" s="2"/>
      <c r="K14" s="2"/>
      <c r="L14" s="2"/>
      <c r="M14" s="2"/>
    </row>
    <row r="15" spans="2:30" x14ac:dyDescent="0.25">
      <c r="B15" s="18" t="s">
        <v>27</v>
      </c>
      <c r="C15" s="19"/>
      <c r="D15" s="19"/>
      <c r="E15" s="67"/>
      <c r="F15" s="19"/>
      <c r="G15" s="19"/>
      <c r="H15" s="19"/>
      <c r="I15" s="19"/>
      <c r="J15" s="80"/>
      <c r="K15" s="80"/>
      <c r="L15" s="80"/>
      <c r="M15" s="80"/>
    </row>
    <row r="16" spans="2:30" x14ac:dyDescent="0.25">
      <c r="B16" s="18" t="s">
        <v>28</v>
      </c>
      <c r="C16" s="19"/>
      <c r="D16" s="19"/>
      <c r="E16" s="67"/>
      <c r="F16" s="19"/>
      <c r="G16" s="19"/>
      <c r="H16" s="19"/>
      <c r="I16" s="19"/>
      <c r="J16" s="80"/>
      <c r="K16" s="80"/>
      <c r="L16" s="82"/>
      <c r="M16" s="80"/>
    </row>
    <row r="17" spans="1:30" x14ac:dyDescent="0.25">
      <c r="B17" s="20">
        <f ca="1">S17</f>
        <v>0.34355437499999997</v>
      </c>
      <c r="C17" s="18" t="s">
        <v>29</v>
      </c>
      <c r="E17" s="68"/>
      <c r="F17" s="19"/>
      <c r="G17" s="19"/>
      <c r="H17" s="19"/>
      <c r="I17" s="21"/>
      <c r="J17" s="21"/>
      <c r="K17" s="16"/>
      <c r="L17" s="21"/>
      <c r="M17" s="49"/>
      <c r="O17" s="85" t="s">
        <v>149</v>
      </c>
      <c r="P17" s="86" t="s">
        <v>127</v>
      </c>
      <c r="S17" s="91" cm="1">
        <f t="array" aca="1" ref="S17" ca="1">IF($O17="Y",VLOOKUP($P17,INDIRECT($P$3),S$5,0)*INDIRECT($O$2),VLOOKUP($P17,INDIRECT($P$3),S$5,0))</f>
        <v>0.34355437499999997</v>
      </c>
      <c r="X17" s="94" t="str">
        <f>P17</f>
        <v>Year 10</v>
      </c>
      <c r="AA17" s="99">
        <f t="shared" ref="AA17:AA20" ca="1" si="12">ROUND(S17,3)</f>
        <v>0.34399999999999997</v>
      </c>
    </row>
    <row r="18" spans="1:30" x14ac:dyDescent="0.25">
      <c r="B18" s="20">
        <f t="shared" ref="B18:B20" ca="1" si="13">S18</f>
        <v>0.48118624999999993</v>
      </c>
      <c r="C18" s="18" t="s">
        <v>30</v>
      </c>
      <c r="E18" s="68"/>
      <c r="F18" s="19"/>
      <c r="G18" s="19"/>
      <c r="H18" s="19"/>
      <c r="I18" s="21"/>
      <c r="J18" s="21"/>
      <c r="K18" s="16"/>
      <c r="L18" s="21"/>
      <c r="M18" s="49"/>
      <c r="O18" s="85" t="s">
        <v>149</v>
      </c>
      <c r="P18" s="86" t="s">
        <v>128</v>
      </c>
      <c r="S18" s="91" cm="1">
        <f t="array" aca="1" ref="S18" ca="1">IF($O18="Y",VLOOKUP($P18,INDIRECT($P$3),S$5,0)*INDIRECT($O$2),VLOOKUP($P18,INDIRECT($P$3),S$5,0))</f>
        <v>0.48118624999999993</v>
      </c>
      <c r="X18" s="94" t="str">
        <f t="shared" ref="X18:X20" si="14">P18</f>
        <v>Year 15</v>
      </c>
      <c r="AA18" s="99">
        <f t="shared" ca="1" si="12"/>
        <v>0.48099999999999998</v>
      </c>
    </row>
    <row r="19" spans="1:30" x14ac:dyDescent="0.25">
      <c r="B19" s="20">
        <f t="shared" ca="1" si="13"/>
        <v>0.58309687499999996</v>
      </c>
      <c r="C19" s="18" t="s">
        <v>31</v>
      </c>
      <c r="E19" s="68"/>
      <c r="F19" s="19"/>
      <c r="G19" s="19"/>
      <c r="H19" s="19"/>
      <c r="I19" s="21"/>
      <c r="J19" s="21"/>
      <c r="K19" s="16"/>
      <c r="L19" s="2"/>
      <c r="M19" s="49"/>
      <c r="O19" s="85" t="s">
        <v>149</v>
      </c>
      <c r="P19" s="86" t="s">
        <v>129</v>
      </c>
      <c r="S19" s="91" cm="1">
        <f t="array" aca="1" ref="S19" ca="1">IF($O19="Y",VLOOKUP($P19,INDIRECT($P$3),S$5,0)*INDIRECT($O$2),VLOOKUP($P19,INDIRECT($P$3),S$5,0))</f>
        <v>0.58309687499999996</v>
      </c>
      <c r="X19" s="94" t="str">
        <f t="shared" si="14"/>
        <v>Year 20</v>
      </c>
      <c r="AA19" s="99">
        <f t="shared" ca="1" si="12"/>
        <v>0.58299999999999996</v>
      </c>
    </row>
    <row r="20" spans="1:30" x14ac:dyDescent="0.25">
      <c r="B20" s="20">
        <f t="shared" ca="1" si="13"/>
        <v>0.68395687499999991</v>
      </c>
      <c r="C20" s="18" t="s">
        <v>32</v>
      </c>
      <c r="E20" s="67"/>
      <c r="F20" s="19"/>
      <c r="G20" s="19"/>
      <c r="H20" s="19"/>
      <c r="I20" s="21"/>
      <c r="J20" s="21"/>
      <c r="K20" s="16"/>
      <c r="L20" s="21"/>
      <c r="M20" s="49"/>
      <c r="O20" s="85" t="s">
        <v>149</v>
      </c>
      <c r="P20" s="86" t="s">
        <v>130</v>
      </c>
      <c r="S20" s="91" cm="1">
        <f t="array" aca="1" ref="S20" ca="1">IF($O20="Y",VLOOKUP($P20,INDIRECT($P$3),S$5,0)*INDIRECT($O$2),VLOOKUP($P20,INDIRECT($P$3),S$5,0))</f>
        <v>0.68395687499999991</v>
      </c>
      <c r="X20" s="94" t="str">
        <f t="shared" si="14"/>
        <v>Year 25</v>
      </c>
      <c r="AA20" s="99">
        <f t="shared" ca="1" si="12"/>
        <v>0.68400000000000005</v>
      </c>
    </row>
    <row r="21" spans="1:30" x14ac:dyDescent="0.25">
      <c r="B21" s="17"/>
      <c r="C21" s="2"/>
      <c r="D21" s="2"/>
      <c r="E21" s="64"/>
      <c r="F21" s="17"/>
      <c r="G21" s="2"/>
      <c r="H21" s="2"/>
      <c r="I21" s="2"/>
      <c r="K21" s="2"/>
      <c r="L21" s="2"/>
      <c r="M21" s="2"/>
    </row>
    <row r="22" spans="1:30" x14ac:dyDescent="0.25">
      <c r="B22" s="23" t="s">
        <v>33</v>
      </c>
      <c r="C22" s="21"/>
      <c r="D22" s="21"/>
      <c r="E22" s="69"/>
      <c r="F22" s="21"/>
      <c r="G22" s="21"/>
      <c r="H22" s="21"/>
      <c r="I22" s="21"/>
      <c r="J22" s="21"/>
      <c r="K22" s="21"/>
      <c r="L22" s="21"/>
      <c r="M22" s="21"/>
    </row>
    <row r="23" spans="1:30" x14ac:dyDescent="0.25">
      <c r="B23" s="18" t="s">
        <v>58</v>
      </c>
      <c r="C23" s="19"/>
      <c r="D23" s="19"/>
      <c r="E23" s="67"/>
      <c r="F23" s="19"/>
      <c r="G23" s="19"/>
      <c r="H23" s="19"/>
      <c r="I23" s="19"/>
      <c r="J23" s="21"/>
      <c r="K23" s="21"/>
      <c r="L23" s="21"/>
      <c r="M23" s="21"/>
    </row>
    <row r="24" spans="1:30" x14ac:dyDescent="0.25">
      <c r="B24" s="18" t="str">
        <f>"effective 1/1/2023, the safety shoe rate was increased from $0.070 to "&amp;TEXT(S24,"$0.000")&amp;" per hour"</f>
        <v>effective 1/1/2023, the safety shoe rate was increased from $0.070 to $0.100 per hour</v>
      </c>
      <c r="C24" s="19"/>
      <c r="D24" s="19"/>
      <c r="E24" s="67"/>
      <c r="F24" s="19"/>
      <c r="G24" s="74"/>
      <c r="H24" s="19"/>
      <c r="I24" s="19"/>
      <c r="J24" s="21"/>
      <c r="K24" s="21"/>
      <c r="L24" s="21"/>
      <c r="M24" s="21"/>
      <c r="O24" s="85" t="s">
        <v>8</v>
      </c>
      <c r="P24" s="86" t="s">
        <v>33</v>
      </c>
      <c r="S24" s="91">
        <v>0.1</v>
      </c>
      <c r="X24" s="94" t="str">
        <f t="shared" ref="X24" si="15">P24</f>
        <v>Safety Shoes</v>
      </c>
      <c r="AA24" s="99">
        <f t="shared" ref="AA24" si="16">ROUND(S24,3)</f>
        <v>0.1</v>
      </c>
    </row>
    <row r="25" spans="1:30" x14ac:dyDescent="0.25">
      <c r="B25" s="18"/>
      <c r="C25" s="19"/>
      <c r="D25" s="19"/>
      <c r="E25" s="67"/>
      <c r="F25" s="19"/>
      <c r="G25" s="19"/>
      <c r="H25" s="19"/>
      <c r="I25" s="19"/>
      <c r="J25" s="21"/>
      <c r="K25" s="21"/>
      <c r="L25" s="21"/>
      <c r="M25" s="21"/>
    </row>
    <row r="26" spans="1:30" s="26" customFormat="1" x14ac:dyDescent="0.25">
      <c r="B26" s="26" t="s">
        <v>160</v>
      </c>
      <c r="E26" s="70"/>
      <c r="O26" s="92"/>
      <c r="P26" s="93"/>
      <c r="Q26" s="92"/>
      <c r="R26" s="93"/>
      <c r="S26" s="93"/>
      <c r="T26" s="93"/>
      <c r="U26" s="93"/>
      <c r="V26" s="93"/>
      <c r="X26" s="100"/>
      <c r="Y26" s="100"/>
      <c r="Z26" s="100"/>
      <c r="AA26" s="113"/>
      <c r="AB26" s="100"/>
      <c r="AC26" s="100"/>
      <c r="AD26" s="100"/>
    </row>
    <row r="27" spans="1:30" x14ac:dyDescent="0.25">
      <c r="B27" s="4" t="s">
        <v>168</v>
      </c>
    </row>
    <row r="28" spans="1:30" x14ac:dyDescent="0.25">
      <c r="A28" t="s">
        <v>124</v>
      </c>
      <c r="B28" s="20">
        <f t="shared" ref="B28:B30" ca="1" si="17">S28</f>
        <v>0.60515999999999992</v>
      </c>
      <c r="C28" s="4" t="s">
        <v>169</v>
      </c>
      <c r="M28" s="21"/>
      <c r="O28" s="85" t="s">
        <v>149</v>
      </c>
      <c r="P28" s="86" t="s">
        <v>124</v>
      </c>
      <c r="Q28" s="85" t="s">
        <v>136</v>
      </c>
      <c r="S28" s="91" cm="1">
        <f t="array" aca="1" ref="S28" ca="1">IF($O28="Y",VLOOKUP($P28,INDIRECT($P$3),S$5,0)*INDIRECT($O$2),VLOOKUP($P28,INDIRECT($P$3),S$5,0))</f>
        <v>0.60515999999999992</v>
      </c>
      <c r="X28" s="94" t="str">
        <f t="shared" ref="X28:Y30" si="18">P28</f>
        <v>CAWWOC</v>
      </c>
      <c r="Y28" s="94" t="str">
        <f t="shared" si="18"/>
        <v>Water Operator Certification-C</v>
      </c>
      <c r="AA28" s="99">
        <f t="shared" ref="AA28:AA30" ca="1" si="19">ROUND(S28,3)</f>
        <v>0.60499999999999998</v>
      </c>
    </row>
    <row r="29" spans="1:30" x14ac:dyDescent="0.25">
      <c r="A29" t="s">
        <v>123</v>
      </c>
      <c r="B29" s="20">
        <f t="shared" ca="1" si="17"/>
        <v>0.91299312499999985</v>
      </c>
      <c r="C29" s="4" t="s">
        <v>48</v>
      </c>
      <c r="M29" s="21"/>
      <c r="O29" s="85" t="s">
        <v>149</v>
      </c>
      <c r="P29" s="86" t="s">
        <v>123</v>
      </c>
      <c r="Q29" s="85" t="s">
        <v>137</v>
      </c>
      <c r="S29" s="91" cm="1">
        <f t="array" aca="1" ref="S29" ca="1">IF($O29="Y",VLOOKUP($P29,INDIRECT($P$3),S$5,0)*INDIRECT($O$2),VLOOKUP($P29,INDIRECT($P$3),S$5,0))</f>
        <v>0.91299312499999985</v>
      </c>
      <c r="X29" s="94" t="str">
        <f t="shared" si="18"/>
        <v>CAWWOB</v>
      </c>
      <c r="Y29" s="94" t="str">
        <f t="shared" si="18"/>
        <v>Water Operator Certification-B</v>
      </c>
      <c r="AA29" s="99">
        <f t="shared" ca="1" si="19"/>
        <v>0.91300000000000003</v>
      </c>
    </row>
    <row r="30" spans="1:30" x14ac:dyDescent="0.25">
      <c r="A30" t="s">
        <v>122</v>
      </c>
      <c r="B30" s="20">
        <f t="shared" ca="1" si="17"/>
        <v>1.2208262499999996</v>
      </c>
      <c r="C30" s="4" t="s">
        <v>49</v>
      </c>
      <c r="M30" s="21"/>
      <c r="O30" s="85" t="s">
        <v>149</v>
      </c>
      <c r="P30" s="86" t="s">
        <v>122</v>
      </c>
      <c r="Q30" s="85" t="s">
        <v>138</v>
      </c>
      <c r="S30" s="91" cm="1">
        <f t="array" aca="1" ref="S30" ca="1">IF($O30="Y",VLOOKUP($P30,INDIRECT($P$3),S$5,0)*INDIRECT($O$2),VLOOKUP($P30,INDIRECT($P$3),S$5,0))</f>
        <v>1.2208262499999996</v>
      </c>
      <c r="X30" s="94" t="str">
        <f t="shared" si="18"/>
        <v>CAWWOA</v>
      </c>
      <c r="Y30" s="94" t="str">
        <f t="shared" si="18"/>
        <v>Water Operator Certification-A</v>
      </c>
      <c r="AA30" s="99">
        <f t="shared" ca="1" si="19"/>
        <v>1.2210000000000001</v>
      </c>
    </row>
    <row r="32" spans="1:30" x14ac:dyDescent="0.25">
      <c r="B32" s="24" t="s">
        <v>170</v>
      </c>
      <c r="C32" s="27"/>
      <c r="D32" s="27"/>
      <c r="E32" s="72"/>
      <c r="F32" s="29"/>
      <c r="G32" s="29"/>
      <c r="H32" s="29"/>
      <c r="I32" s="29"/>
      <c r="J32" s="29"/>
      <c r="K32" s="29"/>
      <c r="L32" s="29"/>
      <c r="M32" s="29"/>
    </row>
    <row r="33" spans="1:27" x14ac:dyDescent="0.25">
      <c r="B33" s="20">
        <f t="shared" ref="B33:B35" ca="1" si="20">S33</f>
        <v>0.88170499999999985</v>
      </c>
      <c r="C33" s="37" t="s">
        <v>106</v>
      </c>
      <c r="D33" s="37" t="s">
        <v>172</v>
      </c>
      <c r="E33" s="73"/>
      <c r="F33" s="33"/>
      <c r="G33" s="33"/>
      <c r="H33" s="33"/>
      <c r="I33" s="33"/>
      <c r="J33" s="33"/>
      <c r="K33" s="29"/>
      <c r="L33" s="29"/>
      <c r="M33" s="29"/>
      <c r="O33" s="85" t="s">
        <v>149</v>
      </c>
      <c r="P33" s="86" t="s">
        <v>125</v>
      </c>
      <c r="Q33" s="85" t="s">
        <v>139</v>
      </c>
      <c r="S33" s="91" cm="1">
        <f t="array" aca="1" ref="S33" ca="1">IF($O33="Y",VLOOKUP($P33,INDIRECT($P$3),S$5,0)*INDIRECT($O$2),VLOOKUP($P33,INDIRECT($P$3),S$5,0))</f>
        <v>0.88170499999999985</v>
      </c>
      <c r="X33" s="94" t="str">
        <f t="shared" ref="X33:X34" si="21">P33</f>
        <v>CAWEVE</v>
      </c>
      <c r="Y33" s="94" t="str">
        <f t="shared" ref="Y33:Y34" si="22">Q33</f>
        <v>TL-Afternoon Shift Premium-CAW</v>
      </c>
      <c r="AA33" s="99">
        <f t="shared" ref="AA33:AA34" ca="1" si="23">ROUND(S33,3)</f>
        <v>0.88200000000000001</v>
      </c>
    </row>
    <row r="34" spans="1:27" x14ac:dyDescent="0.25">
      <c r="B34" s="30"/>
      <c r="C34" s="37"/>
      <c r="D34" s="37" t="s">
        <v>171</v>
      </c>
      <c r="E34" s="73"/>
      <c r="F34" s="33"/>
      <c r="G34" s="33"/>
      <c r="H34" s="33"/>
      <c r="I34" s="33"/>
      <c r="J34" s="33"/>
      <c r="K34" s="29"/>
      <c r="L34" s="29"/>
      <c r="M34" s="29"/>
      <c r="O34" s="85" t="s">
        <v>149</v>
      </c>
      <c r="P34" s="86" t="s">
        <v>154</v>
      </c>
      <c r="Q34" s="85" t="s">
        <v>163</v>
      </c>
      <c r="S34" s="91">
        <f ca="1">S33</f>
        <v>0.88170499999999985</v>
      </c>
      <c r="X34" s="94" t="str">
        <f t="shared" si="21"/>
        <v>CAWWKE</v>
      </c>
      <c r="Y34" s="94" t="str">
        <f t="shared" si="22"/>
        <v>Weekend shift-CAW</v>
      </c>
      <c r="AA34" s="99">
        <f t="shared" ca="1" si="23"/>
        <v>0.88200000000000001</v>
      </c>
    </row>
    <row r="35" spans="1:27" x14ac:dyDescent="0.25">
      <c r="B35" s="20">
        <f t="shared" ca="1" si="20"/>
        <v>1.3148834531249998</v>
      </c>
      <c r="C35" s="37" t="s">
        <v>106</v>
      </c>
      <c r="D35" s="37" t="s">
        <v>185</v>
      </c>
      <c r="E35" s="73"/>
      <c r="F35" s="33"/>
      <c r="G35" s="33"/>
      <c r="H35" s="33"/>
      <c r="I35" s="33"/>
      <c r="J35" s="33"/>
      <c r="K35" s="29"/>
      <c r="L35" s="29"/>
      <c r="M35" s="29"/>
      <c r="O35" s="85" t="s">
        <v>149</v>
      </c>
      <c r="P35" s="86" t="s">
        <v>126</v>
      </c>
      <c r="Q35" s="85" t="s">
        <v>140</v>
      </c>
      <c r="S35" s="91" cm="1">
        <f t="array" aca="1" ref="S35" ca="1">IF($O35="Y",VLOOKUP($P35,INDIRECT($P$3),S$5,0)*INDIRECT($O$2),VLOOKUP($P35,INDIRECT($P$3),S$5,0))</f>
        <v>1.3148834531249998</v>
      </c>
      <c r="X35" s="94" t="str">
        <f t="shared" ref="X35" si="24">P35</f>
        <v>CAWNIT</v>
      </c>
      <c r="Y35" s="94" t="str">
        <f t="shared" ref="Y35" si="25">Q35</f>
        <v>TL-Night Shift Premium-CPL</v>
      </c>
      <c r="AA35" s="99">
        <f t="shared" ref="AA35" ca="1" si="26">ROUND(S35,3)</f>
        <v>1.3149999999999999</v>
      </c>
    </row>
    <row r="36" spans="1:27" x14ac:dyDescent="0.25">
      <c r="B36" s="30"/>
      <c r="C36" s="31"/>
      <c r="D36" s="31"/>
      <c r="E36" s="73"/>
      <c r="F36" s="33"/>
      <c r="G36" s="33"/>
      <c r="H36" s="33"/>
      <c r="I36" s="33"/>
      <c r="J36" s="33"/>
      <c r="K36" s="29"/>
      <c r="L36" s="29"/>
      <c r="M36" s="29"/>
    </row>
    <row r="37" spans="1:27" x14ac:dyDescent="0.25">
      <c r="B37" s="103" t="s">
        <v>178</v>
      </c>
      <c r="C37" s="36"/>
      <c r="D37" s="34"/>
      <c r="E37" s="73"/>
      <c r="F37" s="33"/>
      <c r="G37" s="35"/>
      <c r="H37" s="35"/>
      <c r="I37" s="35"/>
      <c r="J37" s="38"/>
      <c r="K37" s="39"/>
      <c r="L37" s="33"/>
      <c r="M37" s="33"/>
    </row>
    <row r="38" spans="1:27" x14ac:dyDescent="0.25">
      <c r="B38" s="22">
        <f>S38</f>
        <v>0.80400000000000005</v>
      </c>
      <c r="C38" s="119" t="s">
        <v>106</v>
      </c>
      <c r="D38" s="119" t="s">
        <v>173</v>
      </c>
      <c r="E38" s="73"/>
      <c r="F38" s="33"/>
      <c r="G38" s="35"/>
      <c r="H38" s="35"/>
      <c r="I38" s="35"/>
      <c r="J38" s="38"/>
      <c r="K38" s="39"/>
      <c r="L38" s="33"/>
      <c r="M38" s="33"/>
      <c r="O38" s="85" t="s">
        <v>149</v>
      </c>
      <c r="P38" s="86" t="s">
        <v>164</v>
      </c>
      <c r="Q38" s="85" t="s">
        <v>165</v>
      </c>
      <c r="S38" s="120">
        <v>0.80400000000000005</v>
      </c>
      <c r="T38" s="105"/>
      <c r="X38" s="94" t="str">
        <f>P38</f>
        <v>CAWGLA</v>
      </c>
      <c r="Y38" s="94" t="str">
        <f t="shared" ref="Y38" si="27">Q38</f>
        <v>Gate Truck Lead Assignment</v>
      </c>
      <c r="AA38" s="99">
        <f t="shared" ref="AA38" si="28">ROUND(S38,3)</f>
        <v>0.80400000000000005</v>
      </c>
    </row>
    <row r="39" spans="1:27" x14ac:dyDescent="0.25">
      <c r="A39" s="104"/>
      <c r="B39" s="22">
        <f t="shared" ref="B39:B42" ca="1" si="29">S39</f>
        <v>0.37822499999999992</v>
      </c>
      <c r="C39" s="119" t="s">
        <v>106</v>
      </c>
      <c r="D39" s="119" t="s">
        <v>174</v>
      </c>
      <c r="E39" s="73"/>
      <c r="F39" s="33"/>
      <c r="G39" s="35"/>
      <c r="H39" s="35"/>
      <c r="I39" s="35"/>
      <c r="J39" s="38"/>
      <c r="K39" s="39"/>
      <c r="L39" s="33"/>
      <c r="M39" s="33"/>
      <c r="O39" s="85" t="s">
        <v>149</v>
      </c>
      <c r="P39" s="86" t="s">
        <v>118</v>
      </c>
      <c r="Q39" s="85" t="s">
        <v>131</v>
      </c>
      <c r="S39" s="91" cm="1">
        <f t="array" aca="1" ref="S39" ca="1">IF($O39="Y",VLOOKUP($P39,INDIRECT($P$3),S$5,0)*INDIRECT($O$2),VLOOKUP($P39,INDIRECT($P$3),S$5,0))</f>
        <v>0.37822499999999992</v>
      </c>
      <c r="X39" s="94" t="str">
        <f>P39</f>
        <v>CAWGTT</v>
      </c>
      <c r="Y39" s="94" t="str">
        <f t="shared" ref="Y39" si="30">Q39</f>
        <v>TL-Gate Truck Premium-CAW</v>
      </c>
      <c r="AA39" s="99">
        <f t="shared" ref="AA39" ca="1" si="31">ROUND(S39,3)</f>
        <v>0.378</v>
      </c>
    </row>
    <row r="40" spans="1:27" x14ac:dyDescent="0.25">
      <c r="A40" s="104"/>
      <c r="B40" s="22">
        <f t="shared" ca="1" si="29"/>
        <v>0.37822499999999992</v>
      </c>
      <c r="C40" s="118" t="s">
        <v>106</v>
      </c>
      <c r="D40" s="118" t="s">
        <v>175</v>
      </c>
      <c r="E40" s="73"/>
      <c r="F40" s="33"/>
      <c r="G40" s="35"/>
      <c r="H40" s="35"/>
      <c r="I40" s="35"/>
      <c r="J40" s="33"/>
      <c r="K40" s="33"/>
      <c r="L40" s="33"/>
      <c r="M40" s="33"/>
      <c r="O40" s="85" t="s">
        <v>149</v>
      </c>
      <c r="P40" s="86" t="s">
        <v>117</v>
      </c>
      <c r="Q40" s="85" t="s">
        <v>156</v>
      </c>
      <c r="S40" s="91" cm="1">
        <f t="array" aca="1" ref="S40" ca="1">IF($O40="Y",VLOOKUP($P40,INDIRECT($P$3),S$5,0)*INDIRECT($O$2),VLOOKUP($P40,INDIRECT($P$3),S$5,0))</f>
        <v>0.37822499999999992</v>
      </c>
      <c r="X40" s="94" t="str">
        <f>P40</f>
        <v>CAWTAP</v>
      </c>
      <c r="Y40" s="94" t="str">
        <f t="shared" ref="Y40" si="32">Q40</f>
        <v>TL-Lrg &amp; Sml Taper Premium-CAW</v>
      </c>
      <c r="AA40" s="99">
        <f t="shared" ref="AA40" ca="1" si="33">ROUND(S40,3)</f>
        <v>0.378</v>
      </c>
    </row>
    <row r="41" spans="1:27" x14ac:dyDescent="0.25">
      <c r="A41" s="104" t="s">
        <v>126</v>
      </c>
      <c r="B41" s="22">
        <f t="shared" ca="1" si="29"/>
        <v>1.2428893749999999</v>
      </c>
      <c r="C41" s="116" t="s">
        <v>106</v>
      </c>
      <c r="D41" s="117" t="s">
        <v>176</v>
      </c>
      <c r="E41" s="73"/>
      <c r="F41" s="29"/>
      <c r="G41" s="29"/>
      <c r="H41" s="35"/>
      <c r="I41" s="35"/>
      <c r="M41" s="33"/>
      <c r="O41" s="85" t="s">
        <v>149</v>
      </c>
      <c r="P41" s="86" t="s">
        <v>121</v>
      </c>
      <c r="Q41" s="85" t="s">
        <v>135</v>
      </c>
      <c r="S41" s="91" cm="1">
        <f t="array" aca="1" ref="S41" ca="1">IF($O41="Y",VLOOKUP($P41,INDIRECT($P$3),S$5,0)*INDIRECT($O$2),VLOOKUP($P41,INDIRECT($P$3),S$5,0))</f>
        <v>1.2428893749999999</v>
      </c>
      <c r="T41" s="106"/>
      <c r="X41" s="94" t="str">
        <f>P41</f>
        <v>CAWRSP</v>
      </c>
      <c r="Y41" s="94" t="str">
        <f t="shared" ref="Y41" si="34">Q41</f>
        <v>TL-Respirator-CAW</v>
      </c>
      <c r="AA41" s="99">
        <f t="shared" ref="AA41" ca="1" si="35">ROUND(S41,3)</f>
        <v>1.2430000000000001</v>
      </c>
    </row>
    <row r="42" spans="1:27" x14ac:dyDescent="0.25">
      <c r="A42" s="104"/>
      <c r="B42" s="22">
        <f t="shared" si="29"/>
        <v>0.378</v>
      </c>
      <c r="C42" s="116" t="s">
        <v>106</v>
      </c>
      <c r="D42" s="118" t="s">
        <v>177</v>
      </c>
      <c r="E42" s="73"/>
      <c r="F42" s="33"/>
      <c r="G42" s="35"/>
      <c r="H42" s="35"/>
      <c r="I42" s="35"/>
      <c r="J42" s="33"/>
      <c r="K42" s="33"/>
      <c r="L42" s="33"/>
      <c r="M42" s="33"/>
      <c r="O42" s="85" t="s">
        <v>149</v>
      </c>
      <c r="P42" s="86" t="s">
        <v>166</v>
      </c>
      <c r="Q42" s="85" t="s">
        <v>167</v>
      </c>
      <c r="S42" s="120">
        <v>0.378</v>
      </c>
      <c r="X42" s="94" t="str">
        <f>P42</f>
        <v>CAWCMT</v>
      </c>
      <c r="Y42" s="94" t="str">
        <f t="shared" ref="Y42" si="36">Q42</f>
        <v>Commercial Meter Testing (on-site)</v>
      </c>
      <c r="AA42" s="99">
        <f t="shared" ref="AA42" si="37">ROUND(S42,3)</f>
        <v>0.378</v>
      </c>
    </row>
    <row r="43" spans="1:27" x14ac:dyDescent="0.25">
      <c r="A43" s="104"/>
      <c r="B43" s="109"/>
      <c r="D43" s="37"/>
      <c r="E43" s="73"/>
      <c r="F43" s="33"/>
      <c r="G43" s="35"/>
      <c r="H43" s="35"/>
      <c r="I43" s="35"/>
      <c r="J43" s="33"/>
      <c r="K43" s="33"/>
      <c r="L43" s="33"/>
      <c r="M43" s="33"/>
      <c r="P43" s="85"/>
    </row>
    <row r="44" spans="1:27" x14ac:dyDescent="0.25">
      <c r="A44" s="104"/>
      <c r="B44" s="110"/>
      <c r="D44" s="37"/>
      <c r="E44" s="73"/>
      <c r="F44" s="33"/>
      <c r="G44" s="35"/>
      <c r="H44" s="35"/>
      <c r="I44" s="35"/>
      <c r="J44" s="33"/>
      <c r="K44" s="33"/>
      <c r="L44" s="33"/>
      <c r="M44" s="33"/>
    </row>
    <row r="45" spans="1:27" x14ac:dyDescent="0.25">
      <c r="A45" s="104"/>
      <c r="B45" s="111"/>
    </row>
    <row r="46" spans="1:27" x14ac:dyDescent="0.25">
      <c r="A46" s="104"/>
      <c r="B46" s="104"/>
    </row>
    <row r="47" spans="1:27" x14ac:dyDescent="0.25">
      <c r="A47" s="104"/>
      <c r="B47" s="108"/>
    </row>
    <row r="48" spans="1:27" x14ac:dyDescent="0.25">
      <c r="A48" s="104"/>
      <c r="B48" s="111"/>
    </row>
    <row r="49" spans="1:14" x14ac:dyDescent="0.25">
      <c r="A49" s="104"/>
      <c r="B49" s="111"/>
    </row>
    <row r="50" spans="1:14" x14ac:dyDescent="0.25">
      <c r="A50" s="104"/>
      <c r="B50" s="104" t="s">
        <v>192</v>
      </c>
      <c r="N50" s="4" t="s">
        <v>193</v>
      </c>
    </row>
    <row r="51" spans="1:14" x14ac:dyDescent="0.25">
      <c r="A51" s="104"/>
      <c r="B51" s="108"/>
    </row>
    <row r="52" spans="1:14" x14ac:dyDescent="0.25">
      <c r="A52" s="104"/>
      <c r="B52" s="111"/>
    </row>
    <row r="53" spans="1:14" x14ac:dyDescent="0.25">
      <c r="A53" s="104"/>
      <c r="B53" s="111"/>
    </row>
    <row r="54" spans="1:14" x14ac:dyDescent="0.25">
      <c r="A54" s="104"/>
      <c r="B54" s="111"/>
    </row>
    <row r="55" spans="1:14" x14ac:dyDescent="0.25">
      <c r="A55" s="104"/>
      <c r="B55" s="111"/>
    </row>
    <row r="56" spans="1:14" x14ac:dyDescent="0.25">
      <c r="A56" s="104"/>
      <c r="B56" s="104"/>
    </row>
    <row r="57" spans="1:14" x14ac:dyDescent="0.25">
      <c r="A57" s="104"/>
      <c r="B57" s="108"/>
    </row>
    <row r="58" spans="1:14" x14ac:dyDescent="0.25">
      <c r="A58" s="104"/>
      <c r="B58" s="111"/>
    </row>
    <row r="59" spans="1:14" x14ac:dyDescent="0.25">
      <c r="A59" s="104"/>
      <c r="B59" s="111"/>
    </row>
    <row r="60" spans="1:14" x14ac:dyDescent="0.25">
      <c r="A60" s="104"/>
      <c r="B60" s="111"/>
    </row>
  </sheetData>
  <sheetProtection sheet="1" objects="1" scenarios="1"/>
  <mergeCells count="1">
    <mergeCell ref="B12:M12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DEBB-F8B4-4162-BD88-7E95C122BA1B}">
  <dimension ref="A1:AU61"/>
  <sheetViews>
    <sheetView showGridLines="0" topLeftCell="B7" workbookViewId="0">
      <selection activeCell="P7" sqref="P7:V43"/>
    </sheetView>
  </sheetViews>
  <sheetFormatPr defaultColWidth="9.140625" defaultRowHeight="15" x14ac:dyDescent="0.25"/>
  <cols>
    <col min="1" max="1" width="0" style="4" hidden="1" customWidth="1"/>
    <col min="2" max="2" width="10.42578125" style="4" customWidth="1"/>
    <col min="3" max="3" width="9.5703125" style="4" bestFit="1" customWidth="1"/>
    <col min="4" max="4" width="8.42578125" style="4" customWidth="1"/>
    <col min="5" max="5" width="7.140625" style="71" customWidth="1"/>
    <col min="6" max="6" width="42.5703125" style="4" customWidth="1"/>
    <col min="7" max="7" width="6.5703125" style="4" bestFit="1" customWidth="1"/>
    <col min="8" max="8" width="7.7109375" style="4" bestFit="1" customWidth="1"/>
    <col min="9" max="9" width="7.42578125" style="4" customWidth="1"/>
    <col min="10" max="12" width="8" style="4" customWidth="1"/>
    <col min="13" max="13" width="8.42578125" style="4" bestFit="1" customWidth="1"/>
    <col min="14" max="14" width="9.5703125" style="4" bestFit="1" customWidth="1"/>
    <col min="15" max="15" width="15.42578125" style="85" customWidth="1"/>
    <col min="16" max="16" width="11" style="86" customWidth="1"/>
    <col min="17" max="17" width="34.7109375" style="85" customWidth="1"/>
    <col min="18" max="18" width="3.7109375" style="86" customWidth="1"/>
    <col min="19" max="22" width="7.140625" style="86" customWidth="1"/>
    <col min="23" max="23" width="9.140625" style="4" customWidth="1"/>
    <col min="24" max="24" width="10.5703125" style="94" customWidth="1"/>
    <col min="25" max="25" width="34.7109375" style="94" customWidth="1"/>
    <col min="26" max="26" width="3.7109375" style="94" customWidth="1"/>
    <col min="27" max="27" width="7.140625" style="99" customWidth="1"/>
    <col min="28" max="30" width="7.140625" style="94" customWidth="1"/>
    <col min="31" max="38" width="9.140625" style="4" customWidth="1"/>
    <col min="39" max="16384" width="9.140625" style="4"/>
  </cols>
  <sheetData>
    <row r="1" spans="2:47" x14ac:dyDescent="0.25">
      <c r="B1" s="4" t="s">
        <v>191</v>
      </c>
    </row>
    <row r="2" spans="2:47" ht="18.75" x14ac:dyDescent="0.3">
      <c r="B2" s="1" t="s">
        <v>88</v>
      </c>
      <c r="C2" s="2"/>
      <c r="D2" s="2"/>
      <c r="E2" s="64"/>
      <c r="F2" s="2"/>
      <c r="G2" s="2"/>
      <c r="H2" s="3"/>
      <c r="I2" s="3"/>
      <c r="J2" s="3"/>
      <c r="O2" s="85" t="s">
        <v>180</v>
      </c>
      <c r="P2" s="101">
        <v>1.0449999999999999</v>
      </c>
      <c r="Q2" s="107"/>
      <c r="R2" s="91"/>
    </row>
    <row r="3" spans="2:47" x14ac:dyDescent="0.25">
      <c r="B3" s="114" t="str">
        <f>"Effective January 1, 2024 ("&amp;TEXT(BaseIncrPerc2024-1,"#.00%")&amp;" increase)"</f>
        <v>Effective January 1, 2024 (4.50% increase)</v>
      </c>
      <c r="C3" s="2"/>
      <c r="D3" s="2"/>
      <c r="E3" s="64"/>
      <c r="F3" s="2"/>
      <c r="G3" s="2"/>
      <c r="H3" s="3"/>
      <c r="I3" s="3"/>
      <c r="J3" s="3"/>
      <c r="O3" s="85" t="s">
        <v>143</v>
      </c>
      <c r="P3" s="102" t="s">
        <v>181</v>
      </c>
    </row>
    <row r="4" spans="2:47" x14ac:dyDescent="0.25">
      <c r="B4" s="115" t="s">
        <v>74</v>
      </c>
      <c r="C4" s="2"/>
      <c r="D4" s="2"/>
      <c r="E4" s="64"/>
      <c r="F4" s="2"/>
      <c r="G4" s="2"/>
      <c r="H4" s="3"/>
      <c r="I4" s="3"/>
      <c r="J4" s="3"/>
      <c r="P4" s="91"/>
    </row>
    <row r="5" spans="2:47" x14ac:dyDescent="0.25">
      <c r="B5" s="121" t="s">
        <v>197</v>
      </c>
      <c r="C5" s="2"/>
      <c r="D5" s="2"/>
      <c r="E5" s="64"/>
      <c r="F5" s="2"/>
      <c r="G5" s="2"/>
      <c r="H5" s="3"/>
      <c r="I5" s="3"/>
      <c r="J5" s="3"/>
      <c r="P5" s="91"/>
      <c r="S5" s="86">
        <v>4</v>
      </c>
      <c r="T5" s="86">
        <v>5</v>
      </c>
      <c r="U5" s="86">
        <v>6</v>
      </c>
      <c r="V5" s="86">
        <v>7</v>
      </c>
    </row>
    <row r="6" spans="2:47" x14ac:dyDescent="0.25">
      <c r="B6" s="121"/>
      <c r="C6" s="2"/>
      <c r="D6" s="2"/>
      <c r="E6" s="64"/>
      <c r="F6" s="2"/>
      <c r="G6" s="2"/>
      <c r="H6" s="3"/>
      <c r="I6" s="3"/>
      <c r="J6" s="3"/>
      <c r="P6" s="91"/>
    </row>
    <row r="7" spans="2:47" s="10" customFormat="1" ht="45" x14ac:dyDescent="0.25">
      <c r="B7" s="7" t="s">
        <v>1</v>
      </c>
      <c r="C7" s="7" t="s">
        <v>70</v>
      </c>
      <c r="D7" s="7" t="s">
        <v>71</v>
      </c>
      <c r="E7" s="65" t="s">
        <v>86</v>
      </c>
      <c r="F7" s="8" t="s">
        <v>63</v>
      </c>
      <c r="G7" s="7" t="s">
        <v>3</v>
      </c>
      <c r="H7" s="7" t="s">
        <v>150</v>
      </c>
      <c r="I7" s="7" t="s">
        <v>69</v>
      </c>
      <c r="J7" s="7" t="s">
        <v>4</v>
      </c>
      <c r="K7" s="7" t="s">
        <v>5</v>
      </c>
      <c r="L7" s="7" t="s">
        <v>6</v>
      </c>
      <c r="M7" s="7" t="s">
        <v>7</v>
      </c>
      <c r="O7" s="87" t="s">
        <v>148</v>
      </c>
      <c r="P7" s="88" t="s">
        <v>71</v>
      </c>
      <c r="Q7" s="87" t="s">
        <v>141</v>
      </c>
      <c r="R7" s="88" t="s">
        <v>2</v>
      </c>
      <c r="S7" s="89" t="s">
        <v>4</v>
      </c>
      <c r="T7" s="89" t="s">
        <v>5</v>
      </c>
      <c r="U7" s="89" t="s">
        <v>6</v>
      </c>
      <c r="V7" s="89" t="s">
        <v>7</v>
      </c>
      <c r="X7" s="95" t="s">
        <v>71</v>
      </c>
      <c r="Y7" s="96" t="s">
        <v>141</v>
      </c>
      <c r="Z7" s="95" t="s">
        <v>2</v>
      </c>
      <c r="AA7" s="112" t="s">
        <v>4</v>
      </c>
      <c r="AB7" s="97" t="s">
        <v>5</v>
      </c>
      <c r="AC7" s="97" t="s">
        <v>6</v>
      </c>
      <c r="AD7" s="97" t="s">
        <v>7</v>
      </c>
    </row>
    <row r="8" spans="2:47" x14ac:dyDescent="0.25">
      <c r="B8" s="11" t="s">
        <v>8</v>
      </c>
      <c r="C8" s="11">
        <v>2</v>
      </c>
      <c r="D8" s="12" t="s">
        <v>96</v>
      </c>
      <c r="E8" s="66" t="s">
        <v>97</v>
      </c>
      <c r="F8" s="6" t="s">
        <v>98</v>
      </c>
      <c r="G8" s="3">
        <v>330</v>
      </c>
      <c r="H8" s="3">
        <v>7</v>
      </c>
      <c r="I8" s="3" t="s">
        <v>12</v>
      </c>
      <c r="J8" s="50">
        <f ca="1">S8</f>
        <v>33.821746337499988</v>
      </c>
      <c r="K8" s="50">
        <f t="shared" ref="K8:M8" ca="1" si="0">T8</f>
        <v>35.390649903124988</v>
      </c>
      <c r="L8" s="50">
        <f t="shared" ca="1" si="0"/>
        <v>37.040798299999985</v>
      </c>
      <c r="M8" s="50">
        <f t="shared" ca="1" si="0"/>
        <v>38.771093624999985</v>
      </c>
      <c r="N8" s="58"/>
      <c r="O8" s="85" t="s">
        <v>149</v>
      </c>
      <c r="P8" s="86" t="str">
        <f>D8</f>
        <v>52951C</v>
      </c>
      <c r="Q8" s="85" t="str">
        <f>F8</f>
        <v>Water Loss Specialist</v>
      </c>
      <c r="R8" s="90" t="str">
        <f>E8</f>
        <v>09</v>
      </c>
      <c r="S8" s="91" cm="1">
        <f t="array" aca="1" ref="S8" ca="1">IF($O8="Y",VLOOKUP($P8,INDIRECT($P$3),S$5,0)*INDIRECT($O$2),VLOOKUP($P8,INDIRECT($P$3),S$5,0))</f>
        <v>33.821746337499988</v>
      </c>
      <c r="T8" s="91" cm="1">
        <f t="array" aca="1" ref="T8" ca="1">IF($O8="Y",VLOOKUP($P8,INDIRECT($P$3),T$5,0)*INDIRECT($O$2),VLOOKUP($P8,INDIRECT($P$3),T$5,0))</f>
        <v>35.390649903124988</v>
      </c>
      <c r="U8" s="91" cm="1">
        <f t="array" aca="1" ref="U8" ca="1">IF($O8="Y",VLOOKUP($P8,INDIRECT($P$3),U$5,0)*INDIRECT($O$2),VLOOKUP($P8,INDIRECT($P$3),U$5,0))</f>
        <v>37.040798299999985</v>
      </c>
      <c r="V8" s="91" cm="1">
        <f t="array" aca="1" ref="V8" ca="1">IF($O8="Y",VLOOKUP($P8,INDIRECT($P$3),V$5,0)*INDIRECT($O$2),VLOOKUP($P8,INDIRECT($P$3),V$5,0))</f>
        <v>38.771093624999985</v>
      </c>
      <c r="X8" s="94" t="str">
        <f>P8</f>
        <v>52951C</v>
      </c>
      <c r="Y8" s="94" t="str">
        <f>Q8</f>
        <v>Water Loss Specialist</v>
      </c>
      <c r="Z8" s="98" t="str">
        <f>R8</f>
        <v>09</v>
      </c>
      <c r="AA8" s="99">
        <f ca="1">ROUND(S8,3)</f>
        <v>33.822000000000003</v>
      </c>
      <c r="AB8" s="99">
        <f t="shared" ref="AB8:AD8" ca="1" si="1">ROUND(T8,3)</f>
        <v>35.390999999999998</v>
      </c>
      <c r="AC8" s="99">
        <f t="shared" ca="1" si="1"/>
        <v>37.040999999999997</v>
      </c>
      <c r="AD8" s="99">
        <f t="shared" ca="1" si="1"/>
        <v>38.771000000000001</v>
      </c>
      <c r="AE8" s="4">
        <f>VLOOKUP($X8,[1]Sheet3!$A$319:$J$323,7,0)</f>
        <v>35.390999999999998</v>
      </c>
      <c r="AF8" s="4">
        <f>VLOOKUP($X8,[1]Sheet3!$A$319:$J$323,8,0)</f>
        <v>37.040999999999997</v>
      </c>
      <c r="AG8" s="4">
        <f>VLOOKUP($X8,[1]Sheet3!$A$319:$J$323,9,0)</f>
        <v>38.771000000000001</v>
      </c>
      <c r="AH8" s="4">
        <f>VLOOKUP($X8,[1]Sheet3!$A$319:$J$323,10,0)</f>
        <v>0</v>
      </c>
      <c r="AI8" s="4" t="b">
        <f ca="1">AE8=AA8</f>
        <v>0</v>
      </c>
      <c r="AJ8" s="4" t="b">
        <f t="shared" ref="AJ8:AL8" ca="1" si="2">AF8=AB8</f>
        <v>0</v>
      </c>
      <c r="AK8" s="4" t="b">
        <f t="shared" ca="1" si="2"/>
        <v>0</v>
      </c>
      <c r="AL8" s="4" t="b">
        <f t="shared" ca="1" si="2"/>
        <v>0</v>
      </c>
      <c r="AM8" s="124">
        <f t="shared" ref="AM8" ca="1" si="3">J8*1.15</f>
        <v>38.895008288124984</v>
      </c>
      <c r="AN8" s="124">
        <f t="shared" ref="AN8" ca="1" si="4">K8*1.15</f>
        <v>40.699247388593733</v>
      </c>
      <c r="AO8" s="124">
        <f t="shared" ref="AO8" ca="1" si="5">L8*1.15</f>
        <v>42.596918044999981</v>
      </c>
      <c r="AP8" s="124">
        <f t="shared" ref="AP8" ca="1" si="6">M8*1.15</f>
        <v>44.586757668749982</v>
      </c>
    </row>
    <row r="9" spans="2:47" x14ac:dyDescent="0.25">
      <c r="B9" s="11" t="s">
        <v>8</v>
      </c>
      <c r="C9" s="11">
        <v>2</v>
      </c>
      <c r="D9" s="60" t="s">
        <v>75</v>
      </c>
      <c r="E9" s="66" t="s">
        <v>113</v>
      </c>
      <c r="F9" s="6" t="s">
        <v>87</v>
      </c>
      <c r="G9" s="3" t="s">
        <v>62</v>
      </c>
      <c r="H9" s="3" t="s">
        <v>76</v>
      </c>
      <c r="I9" s="3" t="s">
        <v>12</v>
      </c>
      <c r="J9" s="50">
        <f t="shared" ref="J9:M12" ca="1" si="7">S9</f>
        <v>21.097889690624996</v>
      </c>
      <c r="K9" s="50" t="str">
        <f ca="1">TEXT(T9,"$#.000")&amp;"*"</f>
        <v>$23.350*</v>
      </c>
      <c r="L9" s="40"/>
      <c r="M9" s="40"/>
      <c r="O9" s="85" t="s">
        <v>149</v>
      </c>
      <c r="P9" s="86" t="str">
        <f t="shared" ref="P9:P12" si="8">D9</f>
        <v>52917C</v>
      </c>
      <c r="Q9" s="85" t="str">
        <f t="shared" ref="Q9:Q12" si="9">F9</f>
        <v>Water Distribution Operator Trainee</v>
      </c>
      <c r="R9" s="90" t="str">
        <f t="shared" ref="R9:R12" si="10">E9</f>
        <v>04</v>
      </c>
      <c r="S9" s="91" cm="1">
        <f t="array" aca="1" ref="S9" ca="1">IF($O9="Y",VLOOKUP($P9,INDIRECT($P$3),S$5,0)*INDIRECT($O$2),VLOOKUP($P9,INDIRECT($P$3),S$5,0))</f>
        <v>21.097889690624996</v>
      </c>
      <c r="T9" s="91" cm="1">
        <f t="array" aca="1" ref="T9" ca="1">IF($O9="Y",VLOOKUP($P9,INDIRECT($P$3),T$5,0)*INDIRECT($O$2),VLOOKUP($P9,INDIRECT($P$3),T$5,0))</f>
        <v>23.349864690624997</v>
      </c>
      <c r="U9" s="91"/>
      <c r="V9" s="91"/>
      <c r="X9" s="94" t="str">
        <f t="shared" ref="X9:Z12" si="11">P9</f>
        <v>52917C</v>
      </c>
      <c r="Y9" s="94" t="str">
        <f t="shared" si="11"/>
        <v>Water Distribution Operator Trainee</v>
      </c>
      <c r="Z9" s="98" t="str">
        <f t="shared" si="11"/>
        <v>04</v>
      </c>
      <c r="AA9" s="99">
        <f t="shared" ref="AA9:AD12" ca="1" si="12">ROUND(S9,3)</f>
        <v>21.097999999999999</v>
      </c>
      <c r="AB9" s="99">
        <f t="shared" ca="1" si="12"/>
        <v>23.35</v>
      </c>
      <c r="AC9" s="99"/>
      <c r="AD9" s="99"/>
      <c r="AE9" s="4">
        <f>VLOOKUP($X9,[1]Sheet3!$A$319:$J$323,7,0)</f>
        <v>23.35</v>
      </c>
      <c r="AF9" s="4">
        <f>VLOOKUP($X9,[1]Sheet3!$A$319:$J$323,8,0)</f>
        <v>0</v>
      </c>
      <c r="AG9" s="4">
        <f>VLOOKUP($X9,[1]Sheet3!$A$319:$J$323,9,0)</f>
        <v>0</v>
      </c>
      <c r="AH9" s="4">
        <f>VLOOKUP($X9,[1]Sheet3!$A$319:$J$323,10,0)</f>
        <v>0</v>
      </c>
      <c r="AI9" s="4" t="b">
        <f t="shared" ref="AI9:AI12" ca="1" si="13">AE9=AA9</f>
        <v>0</v>
      </c>
      <c r="AJ9" s="4" t="b">
        <f t="shared" ref="AJ9:AJ12" ca="1" si="14">AF9=AB9</f>
        <v>0</v>
      </c>
      <c r="AK9" s="4" t="b">
        <f t="shared" ref="AK9:AK12" si="15">AG9=AC9</f>
        <v>1</v>
      </c>
      <c r="AL9" s="4" t="b">
        <f t="shared" ref="AL9:AL12" si="16">AH9=AD9</f>
        <v>1</v>
      </c>
      <c r="AM9" s="124"/>
    </row>
    <row r="10" spans="2:47" x14ac:dyDescent="0.25">
      <c r="B10" s="11" t="s">
        <v>8</v>
      </c>
      <c r="C10" s="11">
        <v>2</v>
      </c>
      <c r="D10" s="80" t="s">
        <v>90</v>
      </c>
      <c r="E10" s="61" t="s">
        <v>21</v>
      </c>
      <c r="F10" s="6" t="s">
        <v>56</v>
      </c>
      <c r="G10" s="3">
        <v>265</v>
      </c>
      <c r="H10" s="3">
        <v>5</v>
      </c>
      <c r="I10" s="3" t="s">
        <v>12</v>
      </c>
      <c r="J10" s="50">
        <f t="shared" ca="1" si="7"/>
        <v>28.551554006249994</v>
      </c>
      <c r="K10" s="50">
        <f t="shared" ca="1" si="7"/>
        <v>29.965653231249995</v>
      </c>
      <c r="L10" s="50">
        <f t="shared" ca="1" si="7"/>
        <v>31.452214062499994</v>
      </c>
      <c r="M10" s="50">
        <f t="shared" ca="1" si="7"/>
        <v>33.013432306249996</v>
      </c>
      <c r="N10" s="58"/>
      <c r="O10" s="85" t="s">
        <v>149</v>
      </c>
      <c r="P10" s="86" t="str">
        <f t="shared" si="8"/>
        <v>52938C</v>
      </c>
      <c r="Q10" s="85" t="str">
        <f t="shared" si="9"/>
        <v>Water Distribution Operator</v>
      </c>
      <c r="R10" s="90" t="str">
        <f t="shared" si="10"/>
        <v>01</v>
      </c>
      <c r="S10" s="91" cm="1">
        <f t="array" aca="1" ref="S10" ca="1">IF($O10="Y",VLOOKUP($P10,INDIRECT($P$3),S$5,0)*INDIRECT($O$2),VLOOKUP($P10,INDIRECT($P$3),S$5,0))</f>
        <v>28.551554006249994</v>
      </c>
      <c r="T10" s="91" cm="1">
        <f t="array" aca="1" ref="T10" ca="1">IF($O10="Y",VLOOKUP($P10,INDIRECT($P$3),T$5,0)*INDIRECT($O$2),VLOOKUP($P10,INDIRECT($P$3),T$5,0))</f>
        <v>29.965653231249995</v>
      </c>
      <c r="U10" s="91" cm="1">
        <f t="array" aca="1" ref="U10" ca="1">IF($O10="Y",VLOOKUP($P10,INDIRECT($P$3),U$5,0)*INDIRECT($O$2),VLOOKUP($P10,INDIRECT($P$3),U$5,0))</f>
        <v>31.452214062499994</v>
      </c>
      <c r="V10" s="91" cm="1">
        <f t="array" aca="1" ref="V10" ca="1">IF($O10="Y",VLOOKUP($P10,INDIRECT($P$3),V$5,0)*INDIRECT($O$2),VLOOKUP($P10,INDIRECT($P$3),V$5,0))</f>
        <v>33.013432306249996</v>
      </c>
      <c r="X10" s="94" t="str">
        <f t="shared" si="11"/>
        <v>52938C</v>
      </c>
      <c r="Y10" s="94" t="str">
        <f t="shared" si="11"/>
        <v>Water Distribution Operator</v>
      </c>
      <c r="Z10" s="98" t="str">
        <f t="shared" si="11"/>
        <v>01</v>
      </c>
      <c r="AA10" s="99">
        <f t="shared" ca="1" si="12"/>
        <v>28.552</v>
      </c>
      <c r="AB10" s="99">
        <f t="shared" ca="1" si="12"/>
        <v>29.966000000000001</v>
      </c>
      <c r="AC10" s="99">
        <f t="shared" ca="1" si="12"/>
        <v>31.452000000000002</v>
      </c>
      <c r="AD10" s="99">
        <f t="shared" ca="1" si="12"/>
        <v>33.012999999999998</v>
      </c>
      <c r="AE10" s="4">
        <f>VLOOKUP($X10,[1]Sheet3!$A$319:$J$323,7,0)</f>
        <v>29.966000000000001</v>
      </c>
      <c r="AF10" s="4">
        <f>VLOOKUP($X10,[1]Sheet3!$A$319:$J$323,8,0)</f>
        <v>31.452000000000002</v>
      </c>
      <c r="AG10" s="4">
        <f>VLOOKUP($X10,[1]Sheet3!$A$319:$J$323,9,0)</f>
        <v>33.012999999999998</v>
      </c>
      <c r="AH10" s="4">
        <f>VLOOKUP($X10,[1]Sheet3!$A$319:$J$323,10,0)</f>
        <v>0</v>
      </c>
      <c r="AI10" s="4" t="b">
        <f t="shared" ca="1" si="13"/>
        <v>0</v>
      </c>
      <c r="AJ10" s="4" t="b">
        <f t="shared" ca="1" si="14"/>
        <v>0</v>
      </c>
      <c r="AK10" s="4" t="b">
        <f t="shared" ca="1" si="15"/>
        <v>0</v>
      </c>
      <c r="AL10" s="4" t="b">
        <f t="shared" ca="1" si="16"/>
        <v>0</v>
      </c>
      <c r="AM10" s="124">
        <f ca="1">J10*1.15</f>
        <v>32.834287107187492</v>
      </c>
      <c r="AN10" s="124">
        <f t="shared" ref="AN10:AP10" ca="1" si="17">K10*1.15</f>
        <v>34.460501215937491</v>
      </c>
      <c r="AO10" s="124">
        <f t="shared" ca="1" si="17"/>
        <v>36.170046171874993</v>
      </c>
      <c r="AP10" s="124">
        <f t="shared" ca="1" si="17"/>
        <v>37.965447152187494</v>
      </c>
      <c r="AR10" s="124">
        <f ca="1">(AM10*0.015)+(AM10*0.04)+AM10</f>
        <v>34.640172898082803</v>
      </c>
      <c r="AS10" s="124">
        <f t="shared" ref="AS10:AU10" ca="1" si="18">(AN10*0.015)+(AN10*0.04)+AN10</f>
        <v>36.355828782814051</v>
      </c>
      <c r="AT10" s="124">
        <f t="shared" ca="1" si="18"/>
        <v>38.159398711328116</v>
      </c>
      <c r="AU10" s="124">
        <f t="shared" ca="1" si="18"/>
        <v>40.053546745557803</v>
      </c>
    </row>
    <row r="11" spans="2:47" x14ac:dyDescent="0.25">
      <c r="B11" s="11" t="s">
        <v>8</v>
      </c>
      <c r="C11" s="11">
        <v>2</v>
      </c>
      <c r="D11" s="80" t="s">
        <v>188</v>
      </c>
      <c r="E11" s="61" t="s">
        <v>189</v>
      </c>
      <c r="F11" s="6" t="s">
        <v>190</v>
      </c>
      <c r="G11" s="3">
        <v>345</v>
      </c>
      <c r="H11" s="3">
        <v>7</v>
      </c>
      <c r="I11" s="3" t="s">
        <v>12</v>
      </c>
      <c r="J11" s="50">
        <f t="shared" ref="J11" si="19">S11</f>
        <v>35.002000000000002</v>
      </c>
      <c r="K11" s="50">
        <f t="shared" ref="K11" si="20">T11</f>
        <v>36.844999999999999</v>
      </c>
      <c r="L11" s="50">
        <f t="shared" ref="L11" si="21">U11</f>
        <v>38.783999999999999</v>
      </c>
      <c r="M11" s="50">
        <f t="shared" ref="M11" si="22">V11</f>
        <v>40.825000000000003</v>
      </c>
      <c r="N11" s="58"/>
      <c r="O11" s="85" t="s">
        <v>149</v>
      </c>
      <c r="P11" s="86" t="s">
        <v>188</v>
      </c>
      <c r="Q11" s="85" t="str">
        <f t="shared" ref="Q11" si="23">F11</f>
        <v>Water Loss &amp; Service Connection Inspector</v>
      </c>
      <c r="R11" s="90" t="str">
        <f t="shared" ref="R11" si="24">E11</f>
        <v>10</v>
      </c>
      <c r="S11" s="91">
        <v>35.002000000000002</v>
      </c>
      <c r="T11" s="91">
        <v>36.844999999999999</v>
      </c>
      <c r="U11" s="91">
        <v>38.783999999999999</v>
      </c>
      <c r="V11" s="91">
        <v>40.825000000000003</v>
      </c>
      <c r="X11" s="94" t="s">
        <v>188</v>
      </c>
      <c r="Y11" s="94" t="str">
        <f t="shared" ref="Y11" si="25">Q11</f>
        <v>Water Loss &amp; Service Connection Inspector</v>
      </c>
      <c r="Z11" s="98" t="str">
        <f t="shared" ref="Z11" si="26">R11</f>
        <v>10</v>
      </c>
      <c r="AA11" s="99">
        <f t="shared" ref="AA11" si="27">ROUND(S11,3)</f>
        <v>35.002000000000002</v>
      </c>
      <c r="AB11" s="122">
        <f t="shared" ref="AB11" si="28">ROUND(T11,3)</f>
        <v>36.844999999999999</v>
      </c>
      <c r="AC11" s="122">
        <f t="shared" ref="AC11" si="29">ROUND(U11,3)</f>
        <v>38.783999999999999</v>
      </c>
      <c r="AD11" s="99">
        <f t="shared" ref="AD11" si="30">ROUND(V11,3)</f>
        <v>40.825000000000003</v>
      </c>
      <c r="AE11" s="4">
        <f>VLOOKUP($X11,[1]Sheet3!$A$319:$J$323,7,0)</f>
        <v>0</v>
      </c>
      <c r="AF11" s="4">
        <f>VLOOKUP($X11,[1]Sheet3!$A$319:$J$323,8,0)</f>
        <v>0</v>
      </c>
      <c r="AG11" s="4">
        <f>VLOOKUP($X11,[1]Sheet3!$A$319:$J$323,9,0)</f>
        <v>40.825000000000003</v>
      </c>
      <c r="AH11" s="4">
        <f>VLOOKUP($X11,[1]Sheet3!$A$319:$J$323,10,0)</f>
        <v>0</v>
      </c>
      <c r="AI11" s="4" t="b">
        <f t="shared" si="13"/>
        <v>0</v>
      </c>
      <c r="AJ11" s="4" t="b">
        <f t="shared" si="14"/>
        <v>0</v>
      </c>
      <c r="AK11" s="4" t="b">
        <f t="shared" si="15"/>
        <v>0</v>
      </c>
      <c r="AL11" s="4" t="b">
        <f t="shared" si="16"/>
        <v>0</v>
      </c>
      <c r="AM11" s="124">
        <f t="shared" ref="AM11:AM12" si="31">J11*1.15</f>
        <v>40.252299999999998</v>
      </c>
      <c r="AN11" s="124">
        <f t="shared" ref="AN11:AN12" si="32">K11*1.15</f>
        <v>42.371749999999999</v>
      </c>
      <c r="AO11" s="124">
        <f t="shared" ref="AO11:AO12" si="33">L11*1.15</f>
        <v>44.601599999999998</v>
      </c>
      <c r="AP11" s="124">
        <f t="shared" ref="AP11:AP12" si="34">M11*1.15</f>
        <v>46.948749999999997</v>
      </c>
      <c r="AR11" s="124">
        <f t="shared" ref="AR11:AR12" si="35">(AM11*0.015)+(AM11*0.04)+AM11</f>
        <v>42.466176499999996</v>
      </c>
      <c r="AS11" s="124">
        <f t="shared" ref="AS11:AS12" si="36">(AN11*0.015)+(AN11*0.04)+AN11</f>
        <v>44.70219625</v>
      </c>
      <c r="AT11" s="124">
        <f t="shared" ref="AT11:AT12" si="37">(AO11*0.015)+(AO11*0.04)+AO11</f>
        <v>47.054687999999999</v>
      </c>
      <c r="AU11" s="124">
        <f t="shared" ref="AU11:AU12" si="38">(AP11*0.015)+(AP11*0.04)+AP11</f>
        <v>49.530931249999995</v>
      </c>
    </row>
    <row r="12" spans="2:47" x14ac:dyDescent="0.25">
      <c r="B12" s="55" t="s">
        <v>8</v>
      </c>
      <c r="C12" s="55">
        <v>2</v>
      </c>
      <c r="D12" s="81" t="s">
        <v>91</v>
      </c>
      <c r="E12" s="63" t="s">
        <v>92</v>
      </c>
      <c r="F12" s="56" t="s">
        <v>57</v>
      </c>
      <c r="G12" s="57">
        <v>310</v>
      </c>
      <c r="H12" s="57">
        <v>6</v>
      </c>
      <c r="I12" s="57" t="s">
        <v>12</v>
      </c>
      <c r="J12" s="59">
        <f t="shared" ca="1" si="7"/>
        <v>30.448730606249992</v>
      </c>
      <c r="K12" s="59">
        <f t="shared" ca="1" si="7"/>
        <v>31.897962731249994</v>
      </c>
      <c r="L12" s="59">
        <f t="shared" ca="1" si="7"/>
        <v>33.417460656249993</v>
      </c>
      <c r="M12" s="59">
        <f t="shared" ca="1" si="7"/>
        <v>35.009420187499991</v>
      </c>
      <c r="O12" s="85" t="s">
        <v>149</v>
      </c>
      <c r="P12" s="86" t="str">
        <f t="shared" si="8"/>
        <v>52939C</v>
      </c>
      <c r="Q12" s="85" t="str">
        <f t="shared" si="9"/>
        <v>Senior Water Distribution Operator</v>
      </c>
      <c r="R12" s="90" t="str">
        <f t="shared" si="10"/>
        <v>02</v>
      </c>
      <c r="S12" s="91" cm="1">
        <f t="array" aca="1" ref="S12" ca="1">IF($O12="Y",VLOOKUP($P12,INDIRECT($P$3),S$5,0)*INDIRECT($O$2),VLOOKUP($P12,INDIRECT($P$3),S$5,0))</f>
        <v>30.448730606249992</v>
      </c>
      <c r="T12" s="91" cm="1">
        <f t="array" aca="1" ref="T12" ca="1">IF($O12="Y",VLOOKUP($P12,INDIRECT($P$3),T$5,0)*INDIRECT($O$2),VLOOKUP($P12,INDIRECT($P$3),T$5,0))</f>
        <v>31.897962731249994</v>
      </c>
      <c r="U12" s="91" cm="1">
        <f t="array" aca="1" ref="U12" ca="1">IF($O12="Y",VLOOKUP($P12,INDIRECT($P$3),U$5,0)*INDIRECT($O$2),VLOOKUP($P12,INDIRECT($P$3),U$5,0))</f>
        <v>33.417460656249993</v>
      </c>
      <c r="V12" s="91" cm="1">
        <f t="array" aca="1" ref="V12" ca="1">IF($O12="Y",VLOOKUP($P12,INDIRECT($P$3),V$5,0)*INDIRECT($O$2),VLOOKUP($P12,INDIRECT($P$3),V$5,0))</f>
        <v>35.009420187499991</v>
      </c>
      <c r="X12" s="94" t="str">
        <f t="shared" si="11"/>
        <v>52939C</v>
      </c>
      <c r="Y12" s="94" t="str">
        <f t="shared" si="11"/>
        <v>Senior Water Distribution Operator</v>
      </c>
      <c r="Z12" s="98" t="str">
        <f t="shared" si="11"/>
        <v>02</v>
      </c>
      <c r="AA12" s="99">
        <f t="shared" ca="1" si="12"/>
        <v>30.449000000000002</v>
      </c>
      <c r="AB12" s="99">
        <f t="shared" ca="1" si="12"/>
        <v>31.898</v>
      </c>
      <c r="AC12" s="99">
        <f t="shared" ca="1" si="12"/>
        <v>33.417000000000002</v>
      </c>
      <c r="AD12" s="99">
        <f t="shared" ca="1" si="12"/>
        <v>35.009</v>
      </c>
      <c r="AE12" s="4">
        <f>VLOOKUP($X12,[1]Sheet3!$A$319:$J$323,7,0)</f>
        <v>31.898</v>
      </c>
      <c r="AF12" s="4">
        <f>VLOOKUP($X12,[1]Sheet3!$A$319:$J$323,8,0)</f>
        <v>33.417000000000002</v>
      </c>
      <c r="AG12" s="4">
        <f>VLOOKUP($X12,[1]Sheet3!$A$319:$J$323,9,0)</f>
        <v>35.009</v>
      </c>
      <c r="AH12" s="4">
        <f>VLOOKUP($X12,[1]Sheet3!$A$319:$J$323,10,0)</f>
        <v>0</v>
      </c>
      <c r="AI12" s="4" t="b">
        <f t="shared" ca="1" si="13"/>
        <v>0</v>
      </c>
      <c r="AJ12" s="4" t="b">
        <f t="shared" ca="1" si="14"/>
        <v>0</v>
      </c>
      <c r="AK12" s="4" t="b">
        <f t="shared" ca="1" si="15"/>
        <v>0</v>
      </c>
      <c r="AL12" s="4" t="b">
        <f t="shared" ca="1" si="16"/>
        <v>0</v>
      </c>
      <c r="AM12" s="124">
        <f t="shared" ca="1" si="31"/>
        <v>35.016040197187486</v>
      </c>
      <c r="AN12" s="124">
        <f t="shared" ca="1" si="32"/>
        <v>36.682657140937486</v>
      </c>
      <c r="AO12" s="124">
        <f t="shared" ca="1" si="33"/>
        <v>38.43007975468749</v>
      </c>
      <c r="AP12" s="124">
        <f t="shared" ca="1" si="34"/>
        <v>40.260833215624984</v>
      </c>
      <c r="AR12" s="124">
        <f t="shared" ca="1" si="35"/>
        <v>36.941922408032795</v>
      </c>
      <c r="AS12" s="124">
        <f t="shared" ca="1" si="36"/>
        <v>38.700203283689049</v>
      </c>
      <c r="AT12" s="124">
        <f t="shared" ca="1" si="37"/>
        <v>40.543734141195301</v>
      </c>
      <c r="AU12" s="124">
        <f t="shared" ca="1" si="38"/>
        <v>42.475179042484356</v>
      </c>
    </row>
    <row r="13" spans="2:47" x14ac:dyDescent="0.25">
      <c r="B13" s="132" t="s">
        <v>161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</row>
    <row r="14" spans="2:47" x14ac:dyDescent="0.25">
      <c r="B14" s="11"/>
      <c r="C14" s="11"/>
      <c r="D14" s="12"/>
      <c r="E14" s="66"/>
      <c r="F14" s="6"/>
      <c r="G14" s="3"/>
      <c r="H14" s="3"/>
      <c r="I14" s="3"/>
      <c r="J14" s="40"/>
      <c r="K14" s="40"/>
      <c r="L14" s="40"/>
      <c r="M14" s="40"/>
    </row>
    <row r="15" spans="2:47" x14ac:dyDescent="0.25">
      <c r="B15" s="17" t="s">
        <v>26</v>
      </c>
      <c r="C15" s="2"/>
      <c r="D15" s="2"/>
      <c r="E15" s="64"/>
      <c r="F15" s="17"/>
      <c r="G15" s="2"/>
      <c r="H15" s="2"/>
      <c r="I15" s="2"/>
      <c r="J15" s="2"/>
      <c r="K15" s="2"/>
      <c r="L15" s="2"/>
      <c r="M15" s="2"/>
    </row>
    <row r="16" spans="2:47" x14ac:dyDescent="0.25">
      <c r="B16" s="18" t="s">
        <v>27</v>
      </c>
      <c r="C16" s="19"/>
      <c r="D16" s="19"/>
      <c r="E16" s="67"/>
      <c r="F16" s="19"/>
      <c r="G16" s="19"/>
      <c r="H16" s="19"/>
      <c r="I16" s="19"/>
      <c r="J16" s="80"/>
      <c r="K16" s="80"/>
      <c r="L16" s="80"/>
      <c r="M16" s="80"/>
    </row>
    <row r="17" spans="1:31" x14ac:dyDescent="0.25">
      <c r="B17" s="18" t="s">
        <v>28</v>
      </c>
      <c r="C17" s="19"/>
      <c r="D17" s="19"/>
      <c r="E17" s="67"/>
      <c r="F17" s="19"/>
      <c r="G17" s="19"/>
      <c r="H17" s="19"/>
      <c r="I17" s="19"/>
      <c r="J17" s="80"/>
      <c r="K17" s="80"/>
      <c r="L17" s="82"/>
      <c r="M17" s="80"/>
    </row>
    <row r="18" spans="1:31" x14ac:dyDescent="0.25">
      <c r="B18" s="20">
        <f ca="1">S18</f>
        <v>0.35901432187499993</v>
      </c>
      <c r="C18" s="18" t="s">
        <v>29</v>
      </c>
      <c r="E18" s="68"/>
      <c r="F18" s="19"/>
      <c r="G18" s="19"/>
      <c r="H18" s="19"/>
      <c r="I18" s="21"/>
      <c r="J18" s="21"/>
      <c r="K18" s="16"/>
      <c r="L18" s="21"/>
      <c r="M18" s="49"/>
      <c r="O18" s="85" t="s">
        <v>149</v>
      </c>
      <c r="P18" s="86" t="s">
        <v>127</v>
      </c>
      <c r="S18" s="91" cm="1">
        <f t="array" aca="1" ref="S18" ca="1">IF($O18="Y",VLOOKUP($P18,INDIRECT($P$3),S$5,0)*INDIRECT($O$2),VLOOKUP($P18,INDIRECT($P$3),S$5,0))</f>
        <v>0.35901432187499993</v>
      </c>
      <c r="X18" s="94" t="str">
        <f>P18</f>
        <v>Year 10</v>
      </c>
      <c r="AA18" s="99">
        <f t="shared" ref="AA18:AA21" ca="1" si="39">ROUND(S18,3)</f>
        <v>0.35899999999999999</v>
      </c>
    </row>
    <row r="19" spans="1:31" x14ac:dyDescent="0.25">
      <c r="B19" s="20">
        <f t="shared" ref="B19:B21" ca="1" si="40">S19</f>
        <v>0.50283963124999986</v>
      </c>
      <c r="C19" s="18" t="s">
        <v>30</v>
      </c>
      <c r="E19" s="68"/>
      <c r="F19" s="19"/>
      <c r="G19" s="19"/>
      <c r="H19" s="19"/>
      <c r="I19" s="21"/>
      <c r="J19" s="21"/>
      <c r="K19" s="16"/>
      <c r="L19" s="21"/>
      <c r="M19" s="49"/>
      <c r="O19" s="85" t="s">
        <v>149</v>
      </c>
      <c r="P19" s="86" t="s">
        <v>128</v>
      </c>
      <c r="S19" s="91" cm="1">
        <f t="array" aca="1" ref="S19" ca="1">IF($O19="Y",VLOOKUP($P19,INDIRECT($P$3),S$5,0)*INDIRECT($O$2),VLOOKUP($P19,INDIRECT($P$3),S$5,0))</f>
        <v>0.50283963124999986</v>
      </c>
      <c r="X19" s="94" t="str">
        <f t="shared" ref="X19:X21" si="41">P19</f>
        <v>Year 15</v>
      </c>
      <c r="AA19" s="99">
        <f t="shared" ca="1" si="39"/>
        <v>0.503</v>
      </c>
    </row>
    <row r="20" spans="1:31" x14ac:dyDescent="0.25">
      <c r="B20" s="20">
        <f t="shared" ca="1" si="40"/>
        <v>0.60933623437499995</v>
      </c>
      <c r="C20" s="18" t="s">
        <v>31</v>
      </c>
      <c r="E20" s="68"/>
      <c r="F20" s="19"/>
      <c r="G20" s="19"/>
      <c r="H20" s="19"/>
      <c r="I20" s="21"/>
      <c r="J20" s="21"/>
      <c r="K20" s="16"/>
      <c r="L20" s="2"/>
      <c r="M20" s="49"/>
      <c r="O20" s="85" t="s">
        <v>149</v>
      </c>
      <c r="P20" s="86" t="s">
        <v>129</v>
      </c>
      <c r="S20" s="91" cm="1">
        <f t="array" aca="1" ref="S20" ca="1">IF($O20="Y",VLOOKUP($P20,INDIRECT($P$3),S$5,0)*INDIRECT($O$2),VLOOKUP($P20,INDIRECT($P$3),S$5,0))</f>
        <v>0.60933623437499995</v>
      </c>
      <c r="X20" s="94" t="str">
        <f t="shared" si="41"/>
        <v>Year 20</v>
      </c>
      <c r="AA20" s="99">
        <f t="shared" ca="1" si="39"/>
        <v>0.60899999999999999</v>
      </c>
    </row>
    <row r="21" spans="1:31" x14ac:dyDescent="0.25">
      <c r="B21" s="20">
        <f t="shared" ca="1" si="40"/>
        <v>0.71473493437499991</v>
      </c>
      <c r="C21" s="18" t="s">
        <v>32</v>
      </c>
      <c r="E21" s="67"/>
      <c r="F21" s="19"/>
      <c r="G21" s="19"/>
      <c r="H21" s="19"/>
      <c r="I21" s="21"/>
      <c r="J21" s="21"/>
      <c r="K21" s="16"/>
      <c r="L21" s="21"/>
      <c r="M21" s="49"/>
      <c r="O21" s="85" t="s">
        <v>149</v>
      </c>
      <c r="P21" s="86" t="s">
        <v>130</v>
      </c>
      <c r="S21" s="91" cm="1">
        <f t="array" aca="1" ref="S21" ca="1">IF($O21="Y",VLOOKUP($P21,INDIRECT($P$3),S$5,0)*INDIRECT($O$2),VLOOKUP($P21,INDIRECT($P$3),S$5,0))</f>
        <v>0.71473493437499991</v>
      </c>
      <c r="X21" s="94" t="str">
        <f t="shared" si="41"/>
        <v>Year 25</v>
      </c>
      <c r="AA21" s="99">
        <f t="shared" ca="1" si="39"/>
        <v>0.71499999999999997</v>
      </c>
    </row>
    <row r="22" spans="1:31" x14ac:dyDescent="0.25">
      <c r="B22" s="17"/>
      <c r="C22" s="2"/>
      <c r="D22" s="2"/>
      <c r="E22" s="64"/>
      <c r="F22" s="17"/>
      <c r="G22" s="2"/>
      <c r="H22" s="2"/>
      <c r="I22" s="2"/>
      <c r="K22" s="2"/>
      <c r="L22" s="2"/>
      <c r="M22" s="2"/>
    </row>
    <row r="23" spans="1:31" x14ac:dyDescent="0.25">
      <c r="B23" s="23" t="s">
        <v>33</v>
      </c>
      <c r="C23" s="21"/>
      <c r="D23" s="21"/>
      <c r="E23" s="69"/>
      <c r="F23" s="21"/>
      <c r="G23" s="21"/>
      <c r="H23" s="21"/>
      <c r="I23" s="21"/>
      <c r="J23" s="21"/>
      <c r="K23" s="21"/>
      <c r="L23" s="21"/>
      <c r="M23" s="21"/>
    </row>
    <row r="24" spans="1:31" x14ac:dyDescent="0.25">
      <c r="B24" s="18" t="s">
        <v>58</v>
      </c>
      <c r="C24" s="19"/>
      <c r="D24" s="19"/>
      <c r="E24" s="67"/>
      <c r="F24" s="19"/>
      <c r="G24" s="19"/>
      <c r="H24" s="19"/>
      <c r="I24" s="19"/>
      <c r="J24" s="21"/>
      <c r="K24" s="21"/>
      <c r="L24" s="21"/>
      <c r="M24" s="21"/>
    </row>
    <row r="25" spans="1:31" x14ac:dyDescent="0.25">
      <c r="B25" s="18" t="str">
        <f>"effective 1/1/2023, the safety shoe rate was increased from $0.070 to "&amp;TEXT(S25,"$0.000")&amp;" per hour"</f>
        <v>effective 1/1/2023, the safety shoe rate was increased from $0.070 to $0.100 per hour</v>
      </c>
      <c r="C25" s="19"/>
      <c r="D25" s="19"/>
      <c r="E25" s="67"/>
      <c r="F25" s="19"/>
      <c r="G25" s="74"/>
      <c r="H25" s="19"/>
      <c r="I25" s="19"/>
      <c r="J25" s="21"/>
      <c r="K25" s="21"/>
      <c r="L25" s="21"/>
      <c r="M25" s="21"/>
      <c r="O25" s="85" t="s">
        <v>8</v>
      </c>
      <c r="P25" s="86" t="s">
        <v>33</v>
      </c>
      <c r="S25" s="91">
        <v>0.1</v>
      </c>
      <c r="X25" s="94" t="str">
        <f t="shared" ref="X25" si="42">P25</f>
        <v>Safety Shoes</v>
      </c>
      <c r="AA25" s="99">
        <f t="shared" ref="AA25" si="43">ROUND(S25,3)</f>
        <v>0.1</v>
      </c>
    </row>
    <row r="26" spans="1:31" x14ac:dyDescent="0.25">
      <c r="B26" s="18"/>
      <c r="C26" s="19"/>
      <c r="D26" s="19"/>
      <c r="E26" s="67"/>
      <c r="F26" s="19"/>
      <c r="G26" s="19"/>
      <c r="H26" s="19"/>
      <c r="I26" s="19"/>
      <c r="J26" s="21"/>
      <c r="K26" s="21"/>
      <c r="L26" s="21"/>
      <c r="M26" s="21"/>
    </row>
    <row r="27" spans="1:31" s="26" customFormat="1" x14ac:dyDescent="0.25">
      <c r="B27" s="26" t="s">
        <v>160</v>
      </c>
      <c r="E27" s="70"/>
      <c r="O27" s="92"/>
      <c r="P27" s="93"/>
      <c r="Q27" s="92"/>
      <c r="R27" s="93"/>
      <c r="S27" s="93"/>
      <c r="T27" s="93"/>
      <c r="U27" s="93"/>
      <c r="V27" s="93"/>
      <c r="X27" s="100"/>
      <c r="Y27" s="100"/>
      <c r="Z27" s="100"/>
      <c r="AA27" s="113"/>
      <c r="AB27" s="100"/>
      <c r="AC27" s="100"/>
      <c r="AD27" s="100"/>
    </row>
    <row r="28" spans="1:31" x14ac:dyDescent="0.25">
      <c r="B28" s="4" t="s">
        <v>168</v>
      </c>
    </row>
    <row r="29" spans="1:31" x14ac:dyDescent="0.25">
      <c r="A29" t="s">
        <v>124</v>
      </c>
      <c r="B29" s="20">
        <f t="shared" ref="B29:B31" ca="1" si="44">S29</f>
        <v>0.63239219999999985</v>
      </c>
      <c r="C29" s="4" t="s">
        <v>169</v>
      </c>
      <c r="M29" s="21"/>
      <c r="O29" s="85" t="s">
        <v>149</v>
      </c>
      <c r="P29" s="86" t="s">
        <v>124</v>
      </c>
      <c r="Q29" s="85" t="s">
        <v>136</v>
      </c>
      <c r="S29" s="91" cm="1">
        <f t="array" aca="1" ref="S29" ca="1">IF($O29="Y",VLOOKUP($P29,INDIRECT($P$3),S$5,0)*INDIRECT($O$2),VLOOKUP($P29,INDIRECT($P$3),S$5,0))</f>
        <v>0.63239219999999985</v>
      </c>
      <c r="X29" s="94" t="str">
        <f t="shared" ref="X29:Y31" si="45">P29</f>
        <v>CAWWOC</v>
      </c>
      <c r="Y29" s="94" t="str">
        <f t="shared" si="45"/>
        <v>Water Operator Certification-C</v>
      </c>
      <c r="AA29" s="99">
        <f t="shared" ref="AA29:AA31" ca="1" si="46">ROUND(S29,3)</f>
        <v>0.63200000000000001</v>
      </c>
      <c r="AE29" s="50"/>
    </row>
    <row r="30" spans="1:31" x14ac:dyDescent="0.25">
      <c r="A30" t="s">
        <v>123</v>
      </c>
      <c r="B30" s="20">
        <f t="shared" ca="1" si="44"/>
        <v>0.95407781562499983</v>
      </c>
      <c r="C30" s="4" t="s">
        <v>48</v>
      </c>
      <c r="M30" s="21"/>
      <c r="O30" s="85" t="s">
        <v>149</v>
      </c>
      <c r="P30" s="86" t="s">
        <v>123</v>
      </c>
      <c r="Q30" s="85" t="s">
        <v>137</v>
      </c>
      <c r="S30" s="91" cm="1">
        <f t="array" aca="1" ref="S30" ca="1">IF($O30="Y",VLOOKUP($P30,INDIRECT($P$3),S$5,0)*INDIRECT($O$2),VLOOKUP($P30,INDIRECT($P$3),S$5,0))</f>
        <v>0.95407781562499983</v>
      </c>
      <c r="X30" s="94" t="str">
        <f t="shared" si="45"/>
        <v>CAWWOB</v>
      </c>
      <c r="Y30" s="94" t="str">
        <f t="shared" si="45"/>
        <v>Water Operator Certification-B</v>
      </c>
      <c r="AA30" s="99">
        <f t="shared" ca="1" si="46"/>
        <v>0.95399999999999996</v>
      </c>
      <c r="AE30" s="50"/>
    </row>
    <row r="31" spans="1:31" x14ac:dyDescent="0.25">
      <c r="A31" t="s">
        <v>122</v>
      </c>
      <c r="B31" s="20">
        <f t="shared" ca="1" si="44"/>
        <v>1.2757634312499995</v>
      </c>
      <c r="C31" s="4" t="s">
        <v>49</v>
      </c>
      <c r="M31" s="21"/>
      <c r="O31" s="85" t="s">
        <v>149</v>
      </c>
      <c r="P31" s="86" t="s">
        <v>122</v>
      </c>
      <c r="Q31" s="85" t="s">
        <v>138</v>
      </c>
      <c r="S31" s="91" cm="1">
        <f t="array" aca="1" ref="S31" ca="1">IF($O31="Y",VLOOKUP($P31,INDIRECT($P$3),S$5,0)*INDIRECT($O$2),VLOOKUP($P31,INDIRECT($P$3),S$5,0))</f>
        <v>1.2757634312499995</v>
      </c>
      <c r="X31" s="94" t="str">
        <f t="shared" si="45"/>
        <v>CAWWOA</v>
      </c>
      <c r="Y31" s="94" t="str">
        <f t="shared" si="45"/>
        <v>Water Operator Certification-A</v>
      </c>
      <c r="AA31" s="99">
        <f t="shared" ca="1" si="46"/>
        <v>1.276</v>
      </c>
      <c r="AE31" s="50"/>
    </row>
    <row r="33" spans="1:31" x14ac:dyDescent="0.25">
      <c r="B33" s="24" t="s">
        <v>170</v>
      </c>
      <c r="C33" s="27"/>
      <c r="D33" s="27"/>
      <c r="E33" s="72"/>
      <c r="F33" s="29"/>
      <c r="G33" s="29"/>
      <c r="H33" s="29"/>
      <c r="I33" s="29"/>
      <c r="J33" s="29"/>
      <c r="K33" s="29"/>
      <c r="L33" s="29"/>
      <c r="M33" s="29"/>
    </row>
    <row r="34" spans="1:31" x14ac:dyDescent="0.25">
      <c r="B34" s="20">
        <f t="shared" ref="B34" ca="1" si="47">S34</f>
        <v>0.92138172499999982</v>
      </c>
      <c r="C34" s="37" t="s">
        <v>106</v>
      </c>
      <c r="D34" s="37" t="s">
        <v>172</v>
      </c>
      <c r="E34" s="73"/>
      <c r="F34" s="33"/>
      <c r="G34" s="33"/>
      <c r="H34" s="33"/>
      <c r="I34" s="33"/>
      <c r="J34" s="33"/>
      <c r="K34" s="29"/>
      <c r="L34" s="29"/>
      <c r="M34" s="29"/>
      <c r="O34" s="85" t="s">
        <v>149</v>
      </c>
      <c r="P34" s="86" t="s">
        <v>125</v>
      </c>
      <c r="Q34" s="85" t="s">
        <v>139</v>
      </c>
      <c r="S34" s="91" cm="1">
        <f t="array" aca="1" ref="S34" ca="1">IF($O34="Y",VLOOKUP($P34,INDIRECT($P$3),S$5,0)*INDIRECT($O$2),VLOOKUP($P34,INDIRECT($P$3),S$5,0))</f>
        <v>0.92138172499999982</v>
      </c>
      <c r="X34" s="94" t="str">
        <f t="shared" ref="X34:Y35" si="48">P34</f>
        <v>CAWEVE</v>
      </c>
      <c r="Y34" s="94" t="str">
        <f t="shared" si="48"/>
        <v>TL-Afternoon Shift Premium-CAW</v>
      </c>
      <c r="AA34" s="99">
        <f t="shared" ref="AA34:AA35" ca="1" si="49">ROUND(S34,3)</f>
        <v>0.92100000000000004</v>
      </c>
      <c r="AE34" s="50"/>
    </row>
    <row r="35" spans="1:31" x14ac:dyDescent="0.25">
      <c r="B35" s="123"/>
      <c r="C35" s="37"/>
      <c r="D35" s="37" t="s">
        <v>171</v>
      </c>
      <c r="E35" s="73"/>
      <c r="F35" s="33"/>
      <c r="G35" s="33"/>
      <c r="H35" s="33"/>
      <c r="I35" s="33"/>
      <c r="J35" s="33"/>
      <c r="K35" s="29"/>
      <c r="L35" s="29"/>
      <c r="M35" s="29"/>
      <c r="O35" s="85" t="s">
        <v>149</v>
      </c>
      <c r="P35" s="86" t="s">
        <v>154</v>
      </c>
      <c r="Q35" s="85" t="s">
        <v>163</v>
      </c>
      <c r="S35" s="91">
        <f ca="1">S34</f>
        <v>0.92138172499999982</v>
      </c>
      <c r="X35" s="94" t="str">
        <f t="shared" si="48"/>
        <v>CAWWKE</v>
      </c>
      <c r="Y35" s="94" t="str">
        <f t="shared" si="48"/>
        <v>Weekend shift-CAW</v>
      </c>
      <c r="AA35" s="99">
        <f t="shared" ca="1" si="49"/>
        <v>0.92100000000000004</v>
      </c>
      <c r="AE35" s="50"/>
    </row>
    <row r="36" spans="1:31" x14ac:dyDescent="0.25">
      <c r="B36" s="20">
        <f t="shared" ref="B36" ca="1" si="50">S36</f>
        <v>1.3740532085156247</v>
      </c>
      <c r="C36" s="37" t="s">
        <v>106</v>
      </c>
      <c r="D36" s="37" t="s">
        <v>185</v>
      </c>
      <c r="E36" s="73"/>
      <c r="F36" s="33"/>
      <c r="G36" s="33"/>
      <c r="H36" s="33"/>
      <c r="I36" s="33"/>
      <c r="J36" s="33"/>
      <c r="K36" s="29"/>
      <c r="L36" s="29"/>
      <c r="M36" s="29"/>
      <c r="O36" s="85" t="s">
        <v>149</v>
      </c>
      <c r="P36" s="86" t="s">
        <v>126</v>
      </c>
      <c r="Q36" s="85" t="s">
        <v>140</v>
      </c>
      <c r="S36" s="91" cm="1">
        <f t="array" aca="1" ref="S36" ca="1">IF($O36="Y",VLOOKUP($P36,INDIRECT($P$3),S$5,0)*INDIRECT($O$2),VLOOKUP($P36,INDIRECT($P$3),S$5,0))</f>
        <v>1.3740532085156247</v>
      </c>
      <c r="X36" s="94" t="str">
        <f t="shared" ref="X36" si="51">P36</f>
        <v>CAWNIT</v>
      </c>
      <c r="Y36" s="94" t="str">
        <f t="shared" ref="Y36" si="52">Q36</f>
        <v>TL-Night Shift Premium-CPL</v>
      </c>
      <c r="AA36" s="99">
        <f t="shared" ref="AA36" ca="1" si="53">ROUND(S36,3)</f>
        <v>1.3740000000000001</v>
      </c>
      <c r="AE36" s="50"/>
    </row>
    <row r="37" spans="1:31" x14ac:dyDescent="0.25">
      <c r="B37" s="30"/>
      <c r="C37" s="31"/>
      <c r="D37" s="31"/>
      <c r="E37" s="73"/>
      <c r="F37" s="33"/>
      <c r="G37" s="33"/>
      <c r="H37" s="33"/>
      <c r="I37" s="33"/>
      <c r="J37" s="33"/>
      <c r="K37" s="29"/>
      <c r="L37" s="29"/>
      <c r="M37" s="29"/>
    </row>
    <row r="38" spans="1:31" x14ac:dyDescent="0.25">
      <c r="B38" s="103" t="s">
        <v>178</v>
      </c>
      <c r="C38" s="36"/>
      <c r="D38" s="34"/>
      <c r="E38" s="73"/>
      <c r="F38" s="33"/>
      <c r="G38" s="35"/>
      <c r="H38" s="35"/>
      <c r="I38" s="35"/>
      <c r="J38" s="38"/>
      <c r="K38" s="39"/>
      <c r="L38" s="33"/>
      <c r="M38" s="33"/>
    </row>
    <row r="39" spans="1:31" x14ac:dyDescent="0.25">
      <c r="B39" s="22">
        <f ca="1">S39</f>
        <v>0.84018000000000004</v>
      </c>
      <c r="C39" s="119" t="s">
        <v>106</v>
      </c>
      <c r="D39" s="119" t="s">
        <v>173</v>
      </c>
      <c r="E39" s="73"/>
      <c r="F39" s="33"/>
      <c r="G39" s="35"/>
      <c r="H39" s="35"/>
      <c r="I39" s="35"/>
      <c r="J39" s="38"/>
      <c r="K39" s="39"/>
      <c r="L39" s="33"/>
      <c r="M39" s="33"/>
      <c r="O39" s="85" t="s">
        <v>149</v>
      </c>
      <c r="P39" s="86" t="s">
        <v>164</v>
      </c>
      <c r="Q39" s="85" t="s">
        <v>165</v>
      </c>
      <c r="S39" s="91" cm="1">
        <f t="array" aca="1" ref="S39" ca="1">IF($O39="Y",VLOOKUP($P39,INDIRECT($P$3),S$5,0)*INDIRECT($O$2),VLOOKUP($P39,INDIRECT($P$3),S$5,0))</f>
        <v>0.84018000000000004</v>
      </c>
      <c r="T39" s="105"/>
      <c r="X39" s="94" t="str">
        <f>P39</f>
        <v>CAWGLA</v>
      </c>
      <c r="Y39" s="94" t="str">
        <f t="shared" ref="Y39:Y43" si="54">Q39</f>
        <v>Gate Truck Lead Assignment</v>
      </c>
      <c r="AA39" s="99">
        <f t="shared" ref="AA39:AA43" ca="1" si="55">ROUND(S39,3)</f>
        <v>0.84</v>
      </c>
      <c r="AE39" s="50"/>
    </row>
    <row r="40" spans="1:31" x14ac:dyDescent="0.25">
      <c r="A40" s="104"/>
      <c r="B40" s="22">
        <f t="shared" ref="B40:B43" ca="1" si="56">S40</f>
        <v>0.39524512499999992</v>
      </c>
      <c r="C40" s="119" t="s">
        <v>106</v>
      </c>
      <c r="D40" s="119" t="s">
        <v>174</v>
      </c>
      <c r="E40" s="73"/>
      <c r="F40" s="33"/>
      <c r="G40" s="35"/>
      <c r="H40" s="35"/>
      <c r="I40" s="35"/>
      <c r="J40" s="38"/>
      <c r="K40" s="39"/>
      <c r="L40" s="33"/>
      <c r="M40" s="33"/>
      <c r="O40" s="85" t="s">
        <v>149</v>
      </c>
      <c r="P40" s="86" t="s">
        <v>118</v>
      </c>
      <c r="Q40" s="85" t="s">
        <v>131</v>
      </c>
      <c r="S40" s="91" cm="1">
        <f t="array" aca="1" ref="S40" ca="1">IF($O40="Y",VLOOKUP($P40,INDIRECT($P$3),S$5,0)*INDIRECT($O$2),VLOOKUP($P40,INDIRECT($P$3),S$5,0))</f>
        <v>0.39524512499999992</v>
      </c>
      <c r="X40" s="94" t="str">
        <f>P40</f>
        <v>CAWGTT</v>
      </c>
      <c r="Y40" s="94" t="str">
        <f t="shared" si="54"/>
        <v>TL-Gate Truck Premium-CAW</v>
      </c>
      <c r="AA40" s="99">
        <f t="shared" ca="1" si="55"/>
        <v>0.39500000000000002</v>
      </c>
      <c r="AE40" s="50"/>
    </row>
    <row r="41" spans="1:31" x14ac:dyDescent="0.25">
      <c r="A41" s="104"/>
      <c r="B41" s="22">
        <f t="shared" ca="1" si="56"/>
        <v>0.39524512499999992</v>
      </c>
      <c r="C41" s="118" t="s">
        <v>106</v>
      </c>
      <c r="D41" s="118" t="s">
        <v>175</v>
      </c>
      <c r="E41" s="73"/>
      <c r="F41" s="33"/>
      <c r="G41" s="35"/>
      <c r="H41" s="35"/>
      <c r="I41" s="35"/>
      <c r="J41" s="33"/>
      <c r="K41" s="33"/>
      <c r="L41" s="33"/>
      <c r="M41" s="33"/>
      <c r="O41" s="85" t="s">
        <v>149</v>
      </c>
      <c r="P41" s="86" t="s">
        <v>117</v>
      </c>
      <c r="Q41" s="85" t="s">
        <v>156</v>
      </c>
      <c r="S41" s="91" cm="1">
        <f t="array" aca="1" ref="S41" ca="1">IF($O41="Y",VLOOKUP($P41,INDIRECT($P$3),S$5,0)*INDIRECT($O$2),VLOOKUP($P41,INDIRECT($P$3),S$5,0))</f>
        <v>0.39524512499999992</v>
      </c>
      <c r="X41" s="94" t="str">
        <f>P41</f>
        <v>CAWTAP</v>
      </c>
      <c r="Y41" s="94" t="str">
        <f t="shared" si="54"/>
        <v>TL-Lrg &amp; Sml Taper Premium-CAW</v>
      </c>
      <c r="AA41" s="99">
        <f t="shared" ca="1" si="55"/>
        <v>0.39500000000000002</v>
      </c>
      <c r="AE41" s="50"/>
    </row>
    <row r="42" spans="1:31" x14ac:dyDescent="0.25">
      <c r="A42" s="104" t="s">
        <v>126</v>
      </c>
      <c r="B42" s="22">
        <f t="shared" ca="1" si="56"/>
        <v>1.2988193968749997</v>
      </c>
      <c r="C42" s="116" t="s">
        <v>106</v>
      </c>
      <c r="D42" s="117" t="s">
        <v>176</v>
      </c>
      <c r="E42" s="73"/>
      <c r="F42" s="29"/>
      <c r="G42" s="29"/>
      <c r="H42" s="35"/>
      <c r="I42" s="35"/>
      <c r="M42" s="33"/>
      <c r="O42" s="85" t="s">
        <v>149</v>
      </c>
      <c r="P42" s="86" t="s">
        <v>121</v>
      </c>
      <c r="Q42" s="85" t="s">
        <v>135</v>
      </c>
      <c r="S42" s="91" cm="1">
        <f t="array" aca="1" ref="S42" ca="1">IF($O42="Y",VLOOKUP($P42,INDIRECT($P$3),S$5,0)*INDIRECT($O$2),VLOOKUP($P42,INDIRECT($P$3),S$5,0))</f>
        <v>1.2988193968749997</v>
      </c>
      <c r="T42" s="106"/>
      <c r="X42" s="94" t="str">
        <f>P42</f>
        <v>CAWRSP</v>
      </c>
      <c r="Y42" s="94" t="str">
        <f t="shared" si="54"/>
        <v>TL-Respirator-CAW</v>
      </c>
      <c r="AA42" s="99">
        <f t="shared" ca="1" si="55"/>
        <v>1.2989999999999999</v>
      </c>
      <c r="AE42" s="50"/>
    </row>
    <row r="43" spans="1:31" x14ac:dyDescent="0.25">
      <c r="A43" s="104"/>
      <c r="B43" s="22">
        <f t="shared" ca="1" si="56"/>
        <v>0.39500999999999997</v>
      </c>
      <c r="C43" s="116" t="s">
        <v>106</v>
      </c>
      <c r="D43" s="118" t="s">
        <v>177</v>
      </c>
      <c r="E43" s="73"/>
      <c r="F43" s="33"/>
      <c r="G43" s="35"/>
      <c r="H43" s="35"/>
      <c r="I43" s="35"/>
      <c r="J43" s="33"/>
      <c r="K43" s="33"/>
      <c r="L43" s="33"/>
      <c r="M43" s="33"/>
      <c r="O43" s="85" t="s">
        <v>149</v>
      </c>
      <c r="P43" s="86" t="s">
        <v>166</v>
      </c>
      <c r="Q43" s="85" t="s">
        <v>167</v>
      </c>
      <c r="S43" s="91" cm="1">
        <f t="array" aca="1" ref="S43" ca="1">IF($O43="Y",VLOOKUP($P43,INDIRECT($P$3),S$5,0)*INDIRECT($O$2),VLOOKUP($P43,INDIRECT($P$3),S$5,0))</f>
        <v>0.39500999999999997</v>
      </c>
      <c r="X43" s="94" t="str">
        <f>P43</f>
        <v>CAWCMT</v>
      </c>
      <c r="Y43" s="94" t="str">
        <f t="shared" si="54"/>
        <v>Commercial Meter Testing (on-site)</v>
      </c>
      <c r="AA43" s="99">
        <f t="shared" ca="1" si="55"/>
        <v>0.39500000000000002</v>
      </c>
      <c r="AE43" s="50"/>
    </row>
    <row r="44" spans="1:31" x14ac:dyDescent="0.25">
      <c r="A44" s="104"/>
      <c r="B44" s="109"/>
      <c r="D44" s="37"/>
      <c r="E44" s="73"/>
      <c r="F44" s="33"/>
      <c r="G44" s="35"/>
      <c r="H44" s="35"/>
      <c r="I44" s="35"/>
      <c r="J44" s="33"/>
      <c r="K44" s="33"/>
      <c r="L44" s="33"/>
      <c r="M44" s="33"/>
      <c r="P44" s="85"/>
    </row>
    <row r="45" spans="1:31" x14ac:dyDescent="0.25">
      <c r="A45" s="104"/>
      <c r="B45" s="110"/>
      <c r="D45" s="37"/>
      <c r="E45" s="73"/>
      <c r="F45" s="33"/>
      <c r="G45" s="35"/>
      <c r="H45" s="35"/>
      <c r="I45" s="35"/>
      <c r="J45" s="33"/>
      <c r="K45" s="33"/>
      <c r="L45" s="33"/>
      <c r="M45" s="33"/>
    </row>
    <row r="46" spans="1:31" x14ac:dyDescent="0.25">
      <c r="A46" s="104"/>
      <c r="B46" s="111"/>
    </row>
    <row r="47" spans="1:31" x14ac:dyDescent="0.25">
      <c r="A47" s="104"/>
      <c r="B47" s="104"/>
    </row>
    <row r="48" spans="1:31" x14ac:dyDescent="0.25">
      <c r="A48" s="104"/>
      <c r="B48" s="108"/>
    </row>
    <row r="49" spans="1:14" x14ac:dyDescent="0.25">
      <c r="A49" s="104"/>
      <c r="B49" s="111"/>
    </row>
    <row r="50" spans="1:14" x14ac:dyDescent="0.25">
      <c r="A50" s="104"/>
      <c r="B50" s="111" t="s">
        <v>192</v>
      </c>
      <c r="N50" s="4" t="s">
        <v>193</v>
      </c>
    </row>
    <row r="51" spans="1:14" x14ac:dyDescent="0.25">
      <c r="A51" s="104"/>
      <c r="B51" s="104"/>
    </row>
    <row r="52" spans="1:14" x14ac:dyDescent="0.25">
      <c r="A52" s="104"/>
      <c r="B52" s="108"/>
    </row>
    <row r="53" spans="1:14" x14ac:dyDescent="0.25">
      <c r="A53" s="104"/>
      <c r="B53" s="111"/>
    </row>
    <row r="54" spans="1:14" x14ac:dyDescent="0.25">
      <c r="A54" s="104"/>
      <c r="B54" s="111"/>
    </row>
    <row r="55" spans="1:14" x14ac:dyDescent="0.25">
      <c r="A55" s="104"/>
      <c r="B55" s="111"/>
    </row>
    <row r="56" spans="1:14" x14ac:dyDescent="0.25">
      <c r="A56" s="104"/>
      <c r="B56" s="111"/>
    </row>
    <row r="57" spans="1:14" x14ac:dyDescent="0.25">
      <c r="A57" s="104"/>
      <c r="B57" s="104"/>
    </row>
    <row r="58" spans="1:14" x14ac:dyDescent="0.25">
      <c r="A58" s="104"/>
      <c r="B58" s="108"/>
    </row>
    <row r="59" spans="1:14" x14ac:dyDescent="0.25">
      <c r="A59" s="104"/>
      <c r="B59" s="111"/>
    </row>
    <row r="60" spans="1:14" x14ac:dyDescent="0.25">
      <c r="A60" s="104"/>
      <c r="B60" s="111"/>
    </row>
    <row r="61" spans="1:14" x14ac:dyDescent="0.25">
      <c r="A61" s="104"/>
      <c r="B61" s="111"/>
    </row>
  </sheetData>
  <mergeCells count="1">
    <mergeCell ref="B13:M13"/>
  </mergeCells>
  <pageMargins left="0.7" right="0.7" top="0.75" bottom="0.75" header="0.3" footer="0.3"/>
  <pageSetup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BB4E-BEE3-4F29-AD77-0AD3707FCC4D}">
  <dimension ref="A1:AD60"/>
  <sheetViews>
    <sheetView showGridLines="0" topLeftCell="B1" workbookViewId="0">
      <selection activeCell="P7" sqref="P7:V43"/>
    </sheetView>
  </sheetViews>
  <sheetFormatPr defaultColWidth="9.140625" defaultRowHeight="15" x14ac:dyDescent="0.25"/>
  <cols>
    <col min="1" max="1" width="0" style="4" hidden="1" customWidth="1"/>
    <col min="2" max="2" width="10.42578125" style="4" customWidth="1"/>
    <col min="3" max="3" width="9.5703125" style="4" bestFit="1" customWidth="1"/>
    <col min="4" max="4" width="8.42578125" style="4" customWidth="1"/>
    <col min="5" max="5" width="7.140625" style="71" customWidth="1"/>
    <col min="6" max="6" width="42.5703125" style="4" customWidth="1"/>
    <col min="7" max="7" width="6.5703125" style="4" bestFit="1" customWidth="1"/>
    <col min="8" max="8" width="7.7109375" style="4" bestFit="1" customWidth="1"/>
    <col min="9" max="9" width="7.42578125" style="4" customWidth="1"/>
    <col min="10" max="12" width="8" style="4" customWidth="1"/>
    <col min="13" max="13" width="8.42578125" style="4" bestFit="1" customWidth="1"/>
    <col min="14" max="14" width="10.42578125" style="4" bestFit="1" customWidth="1"/>
    <col min="15" max="15" width="17.42578125" style="85" customWidth="1"/>
    <col min="16" max="16" width="12.28515625" style="86" customWidth="1"/>
    <col min="17" max="17" width="39.5703125" style="85" customWidth="1"/>
    <col min="18" max="18" width="4.28515625" style="86" customWidth="1"/>
    <col min="19" max="22" width="7.5703125" style="86" customWidth="1"/>
    <col min="23" max="23" width="9.140625" style="4" customWidth="1"/>
    <col min="24" max="24" width="17.28515625" style="94" customWidth="1"/>
    <col min="25" max="25" width="39.5703125" style="94" customWidth="1"/>
    <col min="26" max="26" width="4.28515625" style="94" customWidth="1"/>
    <col min="27" max="27" width="7.5703125" style="99" customWidth="1"/>
    <col min="28" max="30" width="7.5703125" style="94" customWidth="1"/>
    <col min="31" max="16384" width="9.140625" style="4"/>
  </cols>
  <sheetData>
    <row r="1" spans="2:30" x14ac:dyDescent="0.25">
      <c r="B1" s="4" t="s">
        <v>191</v>
      </c>
    </row>
    <row r="2" spans="2:30" ht="18.75" x14ac:dyDescent="0.3">
      <c r="B2" s="1" t="s">
        <v>88</v>
      </c>
      <c r="C2" s="2"/>
      <c r="D2" s="2"/>
      <c r="E2" s="64"/>
      <c r="F2" s="2"/>
      <c r="G2" s="2"/>
      <c r="H2" s="3"/>
      <c r="I2" s="3"/>
      <c r="J2" s="3"/>
      <c r="O2" s="85" t="s">
        <v>182</v>
      </c>
      <c r="P2" s="101">
        <v>1.0249999999999999</v>
      </c>
      <c r="Q2" s="107"/>
      <c r="R2" s="91"/>
    </row>
    <row r="3" spans="2:30" x14ac:dyDescent="0.25">
      <c r="B3" s="114" t="e">
        <f>"Effective January 1, 2025 ("&amp;TEXT(BaseIncrPerc2025-1,"#.00%")&amp;" increase)"</f>
        <v>#NAME?</v>
      </c>
      <c r="C3" s="2"/>
      <c r="D3" s="2"/>
      <c r="E3" s="64"/>
      <c r="F3" s="2"/>
      <c r="G3" s="2"/>
      <c r="H3" s="3"/>
      <c r="I3" s="3"/>
      <c r="J3" s="3"/>
      <c r="O3" s="85" t="s">
        <v>143</v>
      </c>
      <c r="P3" s="102" t="s">
        <v>183</v>
      </c>
    </row>
    <row r="4" spans="2:30" x14ac:dyDescent="0.25">
      <c r="B4" s="115" t="s">
        <v>74</v>
      </c>
      <c r="C4" s="2"/>
      <c r="D4" s="2"/>
      <c r="E4" s="64"/>
      <c r="F4" s="2"/>
      <c r="G4" s="2"/>
      <c r="H4" s="3"/>
      <c r="I4" s="3"/>
      <c r="J4" s="3"/>
      <c r="P4" s="91"/>
    </row>
    <row r="5" spans="2:30" x14ac:dyDescent="0.25">
      <c r="B5" s="121" t="s">
        <v>197</v>
      </c>
      <c r="C5" s="2"/>
      <c r="D5" s="2"/>
      <c r="E5" s="64"/>
      <c r="F5" s="2"/>
      <c r="G5" s="2"/>
      <c r="H5" s="3"/>
      <c r="I5" s="3"/>
      <c r="J5" s="3"/>
      <c r="P5" s="91"/>
      <c r="S5" s="86">
        <v>4</v>
      </c>
      <c r="T5" s="86">
        <v>5</v>
      </c>
      <c r="U5" s="86">
        <v>6</v>
      </c>
      <c r="V5" s="86">
        <v>7</v>
      </c>
      <c r="X5" s="94" t="s">
        <v>195</v>
      </c>
    </row>
    <row r="6" spans="2:30" x14ac:dyDescent="0.25">
      <c r="B6" s="121"/>
      <c r="C6" s="2"/>
      <c r="D6" s="2"/>
      <c r="E6" s="64"/>
      <c r="F6" s="2"/>
      <c r="G6" s="2"/>
      <c r="H6" s="3"/>
      <c r="I6" s="3"/>
      <c r="J6" s="3"/>
      <c r="P6" s="91"/>
      <c r="X6" s="94" t="s">
        <v>194</v>
      </c>
    </row>
    <row r="7" spans="2:30" s="10" customFormat="1" ht="30" x14ac:dyDescent="0.25">
      <c r="B7" s="7" t="s">
        <v>1</v>
      </c>
      <c r="C7" s="7" t="s">
        <v>70</v>
      </c>
      <c r="D7" s="7" t="s">
        <v>71</v>
      </c>
      <c r="E7" s="65" t="s">
        <v>86</v>
      </c>
      <c r="F7" s="8" t="s">
        <v>63</v>
      </c>
      <c r="G7" s="7" t="s">
        <v>3</v>
      </c>
      <c r="H7" s="7" t="s">
        <v>150</v>
      </c>
      <c r="I7" s="7" t="s">
        <v>69</v>
      </c>
      <c r="J7" s="7" t="s">
        <v>4</v>
      </c>
      <c r="K7" s="7" t="s">
        <v>5</v>
      </c>
      <c r="L7" s="7" t="s">
        <v>6</v>
      </c>
      <c r="M7" s="7" t="s">
        <v>7</v>
      </c>
      <c r="O7" s="87" t="s">
        <v>148</v>
      </c>
      <c r="P7" s="88" t="s">
        <v>71</v>
      </c>
      <c r="Q7" s="87" t="s">
        <v>141</v>
      </c>
      <c r="R7" s="88" t="s">
        <v>2</v>
      </c>
      <c r="S7" s="89" t="s">
        <v>4</v>
      </c>
      <c r="T7" s="89" t="s">
        <v>5</v>
      </c>
      <c r="U7" s="89" t="s">
        <v>6</v>
      </c>
      <c r="V7" s="89" t="s">
        <v>7</v>
      </c>
      <c r="X7" s="95" t="s">
        <v>71</v>
      </c>
      <c r="Y7" s="96" t="s">
        <v>141</v>
      </c>
      <c r="Z7" s="95" t="s">
        <v>2</v>
      </c>
      <c r="AA7" s="112" t="s">
        <v>4</v>
      </c>
      <c r="AB7" s="97" t="s">
        <v>5</v>
      </c>
      <c r="AC7" s="97" t="s">
        <v>6</v>
      </c>
      <c r="AD7" s="97" t="s">
        <v>7</v>
      </c>
    </row>
    <row r="8" spans="2:30" x14ac:dyDescent="0.25">
      <c r="B8" s="11" t="s">
        <v>8</v>
      </c>
      <c r="C8" s="11">
        <v>2</v>
      </c>
      <c r="D8" s="60" t="s">
        <v>75</v>
      </c>
      <c r="E8" s="66" t="s">
        <v>113</v>
      </c>
      <c r="F8" s="6" t="s">
        <v>87</v>
      </c>
      <c r="G8" s="3" t="s">
        <v>62</v>
      </c>
      <c r="H8" s="3" t="s">
        <v>76</v>
      </c>
      <c r="I8" s="3" t="s">
        <v>12</v>
      </c>
      <c r="J8" s="50" t="e">
        <f t="shared" ref="J8:M11" ca="1" si="0">S8</f>
        <v>#REF!</v>
      </c>
      <c r="K8" s="50" t="e">
        <f ca="1">TEXT(T8,"$#.000")&amp;"*"</f>
        <v>#REF!</v>
      </c>
      <c r="L8" s="40"/>
      <c r="M8" s="40"/>
      <c r="O8" s="85" t="s">
        <v>149</v>
      </c>
      <c r="P8" s="86" t="str">
        <f>D8</f>
        <v>52917C</v>
      </c>
      <c r="Q8" s="85" t="str">
        <f t="shared" ref="Q8:Q11" si="1">F8</f>
        <v>Water Distribution Operator Trainee</v>
      </c>
      <c r="R8" s="90" t="str">
        <f>E8</f>
        <v>04</v>
      </c>
      <c r="S8" s="91" t="e" cm="1">
        <f t="array" aca="1" ref="S8" ca="1">IF($O8="Y",VLOOKUP($P8,INDIRECT($P$3),S$5,0)*INDIRECT($O$2),VLOOKUP($P8,INDIRECT($P$3),S$5,0))</f>
        <v>#REF!</v>
      </c>
      <c r="T8" s="91" t="e" cm="1">
        <f t="array" aca="1" ref="T8" ca="1">IF($O8="Y",VLOOKUP($P8,INDIRECT($P$3),T$5,0)*INDIRECT($O$2),VLOOKUP($P8,INDIRECT($P$3),T$5,0))</f>
        <v>#REF!</v>
      </c>
      <c r="U8" s="91"/>
      <c r="V8" s="91"/>
      <c r="X8" s="94" t="str">
        <f t="shared" ref="X8:Z11" si="2">P8</f>
        <v>52917C</v>
      </c>
      <c r="Y8" s="94" t="str">
        <f t="shared" si="2"/>
        <v>Water Distribution Operator Trainee</v>
      </c>
      <c r="Z8" s="98" t="str">
        <f t="shared" si="2"/>
        <v>04</v>
      </c>
      <c r="AA8" s="99" t="e">
        <f t="shared" ref="AA8:AD11" ca="1" si="3">ROUND(S8,3)</f>
        <v>#REF!</v>
      </c>
      <c r="AB8" s="99" t="e">
        <f t="shared" ca="1" si="3"/>
        <v>#REF!</v>
      </c>
      <c r="AC8" s="99"/>
      <c r="AD8" s="99"/>
    </row>
    <row r="9" spans="2:30" x14ac:dyDescent="0.25">
      <c r="B9" s="11" t="s">
        <v>8</v>
      </c>
      <c r="C9" s="11">
        <v>2</v>
      </c>
      <c r="D9" s="80" t="s">
        <v>90</v>
      </c>
      <c r="E9" s="61" t="s">
        <v>21</v>
      </c>
      <c r="F9" s="6" t="s">
        <v>56</v>
      </c>
      <c r="G9" s="3">
        <v>265</v>
      </c>
      <c r="H9" s="3">
        <v>5</v>
      </c>
      <c r="I9" s="3" t="s">
        <v>12</v>
      </c>
      <c r="J9" s="50" t="e">
        <f t="shared" ca="1" si="0"/>
        <v>#REF!</v>
      </c>
      <c r="K9" s="50" t="e">
        <f t="shared" ca="1" si="0"/>
        <v>#REF!</v>
      </c>
      <c r="L9" s="50" t="e">
        <f t="shared" ca="1" si="0"/>
        <v>#REF!</v>
      </c>
      <c r="M9" s="50" t="e">
        <f t="shared" ca="1" si="0"/>
        <v>#REF!</v>
      </c>
      <c r="N9" s="58"/>
      <c r="O9" s="85" t="s">
        <v>149</v>
      </c>
      <c r="P9" s="86" t="str">
        <f>D9</f>
        <v>52938C</v>
      </c>
      <c r="Q9" s="85" t="str">
        <f t="shared" si="1"/>
        <v>Water Distribution Operator</v>
      </c>
      <c r="R9" s="90" t="str">
        <f>E9</f>
        <v>01</v>
      </c>
      <c r="S9" s="91" t="e" cm="1">
        <f t="array" aca="1" ref="S9" ca="1">IF($O9="Y",VLOOKUP($P9,INDIRECT($P$3),S$5,0)*INDIRECT($O$2),VLOOKUP($P9,INDIRECT($P$3),S$5,0))</f>
        <v>#REF!</v>
      </c>
      <c r="T9" s="91" t="e" cm="1">
        <f t="array" aca="1" ref="T9" ca="1">IF($O9="Y",VLOOKUP($P9,INDIRECT($P$3),T$5,0)*INDIRECT($O$2),VLOOKUP($P9,INDIRECT($P$3),T$5,0))</f>
        <v>#REF!</v>
      </c>
      <c r="U9" s="91" t="e" cm="1">
        <f t="array" aca="1" ref="U9" ca="1">IF($O9="Y",VLOOKUP($P9,INDIRECT($P$3),U$5,0)*INDIRECT($O$2),VLOOKUP($P9,INDIRECT($P$3),U$5,0))</f>
        <v>#REF!</v>
      </c>
      <c r="V9" s="91" t="e" cm="1">
        <f t="array" aca="1" ref="V9" ca="1">IF($O9="Y",VLOOKUP($P9,INDIRECT($P$3),V$5,0)*INDIRECT($O$2),VLOOKUP($P9,INDIRECT($P$3),V$5,0))</f>
        <v>#REF!</v>
      </c>
      <c r="X9" s="94" t="str">
        <f t="shared" si="2"/>
        <v>52938C</v>
      </c>
      <c r="Y9" s="94" t="str">
        <f t="shared" si="2"/>
        <v>Water Distribution Operator</v>
      </c>
      <c r="Z9" s="98" t="str">
        <f t="shared" si="2"/>
        <v>01</v>
      </c>
      <c r="AA9" s="99" t="e">
        <f t="shared" ca="1" si="3"/>
        <v>#REF!</v>
      </c>
      <c r="AB9" s="99" t="e">
        <f t="shared" ca="1" si="3"/>
        <v>#REF!</v>
      </c>
      <c r="AC9" s="99" t="e">
        <f t="shared" ca="1" si="3"/>
        <v>#REF!</v>
      </c>
      <c r="AD9" s="99" t="e">
        <f t="shared" ca="1" si="3"/>
        <v>#REF!</v>
      </c>
    </row>
    <row r="10" spans="2:30" x14ac:dyDescent="0.25">
      <c r="B10" s="11" t="s">
        <v>8</v>
      </c>
      <c r="C10" s="11">
        <v>2</v>
      </c>
      <c r="D10" s="80" t="s">
        <v>188</v>
      </c>
      <c r="E10" s="61" t="s">
        <v>189</v>
      </c>
      <c r="F10" s="6" t="s">
        <v>190</v>
      </c>
      <c r="G10" s="3">
        <v>345</v>
      </c>
      <c r="H10" s="3">
        <v>7</v>
      </c>
      <c r="I10" s="3" t="s">
        <v>12</v>
      </c>
      <c r="J10" s="50" t="e">
        <f t="shared" ref="J10" ca="1" si="4">S10</f>
        <v>#REF!</v>
      </c>
      <c r="K10" s="50" t="e">
        <f t="shared" ref="K10" ca="1" si="5">T10</f>
        <v>#REF!</v>
      </c>
      <c r="L10" s="50" t="e">
        <f t="shared" ref="L10" ca="1" si="6">U10</f>
        <v>#REF!</v>
      </c>
      <c r="M10" s="50" t="e">
        <f t="shared" ref="M10" ca="1" si="7">V10</f>
        <v>#REF!</v>
      </c>
      <c r="N10" s="58"/>
      <c r="O10" s="85" t="s">
        <v>149</v>
      </c>
      <c r="P10" s="86" t="s">
        <v>188</v>
      </c>
      <c r="Q10" s="85" t="str">
        <f t="shared" ref="Q10" si="8">F10</f>
        <v>Water Loss &amp; Service Connection Inspector</v>
      </c>
      <c r="R10" s="90" t="str">
        <f>E10</f>
        <v>10</v>
      </c>
      <c r="S10" s="91" t="e" cm="1">
        <f t="array" aca="1" ref="S10" ca="1">IF($O10="Y",VLOOKUP($P10,INDIRECT($P$3),S$5,0)*INDIRECT($O$2),VLOOKUP($P10,INDIRECT($P$3),S$5,0))</f>
        <v>#REF!</v>
      </c>
      <c r="T10" s="91" t="e" cm="1">
        <f t="array" aca="1" ref="T10" ca="1">IF($O10="Y",VLOOKUP($P10,INDIRECT($P$3),T$5,0)*INDIRECT($O$2),VLOOKUP($P10,INDIRECT($P$3),T$5,0))</f>
        <v>#REF!</v>
      </c>
      <c r="U10" s="91" t="e" cm="1">
        <f t="array" aca="1" ref="U10" ca="1">IF($O10="Y",VLOOKUP($P10,INDIRECT($P$3),U$5,0)*INDIRECT($O$2),VLOOKUP($P10,INDIRECT($P$3),U$5,0))</f>
        <v>#REF!</v>
      </c>
      <c r="V10" s="91" t="e" cm="1">
        <f t="array" aca="1" ref="V10" ca="1">IF($O10="Y",VLOOKUP($P10,INDIRECT($P$3),V$5,0)*INDIRECT($O$2),VLOOKUP($P10,INDIRECT($P$3),V$5,0))</f>
        <v>#REF!</v>
      </c>
      <c r="X10" s="94" t="s">
        <v>188</v>
      </c>
      <c r="Y10" s="94" t="str">
        <f t="shared" ref="Y10" si="9">Q10</f>
        <v>Water Loss &amp; Service Connection Inspector</v>
      </c>
      <c r="Z10" s="98" t="str">
        <f t="shared" ref="Z10" si="10">R10</f>
        <v>10</v>
      </c>
      <c r="AA10" s="99" t="e">
        <f t="shared" ref="AA10" ca="1" si="11">ROUND(S10,3)</f>
        <v>#REF!</v>
      </c>
      <c r="AB10" s="99" t="e">
        <f t="shared" ref="AB10" ca="1" si="12">ROUND(T10,3)</f>
        <v>#REF!</v>
      </c>
      <c r="AC10" s="99" t="e">
        <f t="shared" ref="AC10" ca="1" si="13">ROUND(U10,3)</f>
        <v>#REF!</v>
      </c>
      <c r="AD10" s="99" t="e">
        <f t="shared" ref="AD10" ca="1" si="14">ROUND(V10,3)</f>
        <v>#REF!</v>
      </c>
    </row>
    <row r="11" spans="2:30" x14ac:dyDescent="0.25">
      <c r="B11" s="55" t="s">
        <v>8</v>
      </c>
      <c r="C11" s="55">
        <v>2</v>
      </c>
      <c r="D11" s="81" t="s">
        <v>91</v>
      </c>
      <c r="E11" s="63" t="s">
        <v>92</v>
      </c>
      <c r="F11" s="56" t="s">
        <v>57</v>
      </c>
      <c r="G11" s="57">
        <v>310</v>
      </c>
      <c r="H11" s="57">
        <v>6</v>
      </c>
      <c r="I11" s="57" t="s">
        <v>12</v>
      </c>
      <c r="J11" s="59" t="e">
        <f t="shared" ca="1" si="0"/>
        <v>#REF!</v>
      </c>
      <c r="K11" s="59" t="e">
        <f t="shared" ca="1" si="0"/>
        <v>#REF!</v>
      </c>
      <c r="L11" s="59" t="e">
        <f t="shared" ca="1" si="0"/>
        <v>#REF!</v>
      </c>
      <c r="M11" s="59" t="e">
        <f t="shared" ca="1" si="0"/>
        <v>#REF!</v>
      </c>
      <c r="O11" s="85" t="s">
        <v>149</v>
      </c>
      <c r="P11" s="86" t="str">
        <f>D11</f>
        <v>52939C</v>
      </c>
      <c r="Q11" s="85" t="str">
        <f t="shared" si="1"/>
        <v>Senior Water Distribution Operator</v>
      </c>
      <c r="R11" s="90" t="str">
        <f>E11</f>
        <v>02</v>
      </c>
      <c r="S11" s="91" t="e" cm="1">
        <f t="array" aca="1" ref="S11" ca="1">IF($O11="Y",VLOOKUP($P11,INDIRECT($P$3),S$5,0)*INDIRECT($O$2),VLOOKUP($P11,INDIRECT($P$3),S$5,0))</f>
        <v>#REF!</v>
      </c>
      <c r="T11" s="91" t="e" cm="1">
        <f t="array" aca="1" ref="T11" ca="1">IF($O11="Y",VLOOKUP($P11,INDIRECT($P$3),T$5,0)*INDIRECT($O$2),VLOOKUP($P11,INDIRECT($P$3),T$5,0))</f>
        <v>#REF!</v>
      </c>
      <c r="U11" s="91" t="e" cm="1">
        <f t="array" aca="1" ref="U11" ca="1">IF($O11="Y",VLOOKUP($P11,INDIRECT($P$3),U$5,0)*INDIRECT($O$2),VLOOKUP($P11,INDIRECT($P$3),U$5,0))</f>
        <v>#REF!</v>
      </c>
      <c r="V11" s="91" t="e" cm="1">
        <f t="array" aca="1" ref="V11" ca="1">IF($O11="Y",VLOOKUP($P11,INDIRECT($P$3),V$5,0)*INDIRECT($O$2),VLOOKUP($P11,INDIRECT($P$3),V$5,0))</f>
        <v>#REF!</v>
      </c>
      <c r="X11" s="94" t="str">
        <f t="shared" si="2"/>
        <v>52939C</v>
      </c>
      <c r="Y11" s="94" t="str">
        <f t="shared" si="2"/>
        <v>Senior Water Distribution Operator</v>
      </c>
      <c r="Z11" s="98" t="str">
        <f t="shared" si="2"/>
        <v>02</v>
      </c>
      <c r="AA11" s="99" t="e">
        <f t="shared" ca="1" si="3"/>
        <v>#REF!</v>
      </c>
      <c r="AB11" s="99" t="e">
        <f t="shared" ca="1" si="3"/>
        <v>#REF!</v>
      </c>
      <c r="AC11" s="99" t="e">
        <f t="shared" ca="1" si="3"/>
        <v>#REF!</v>
      </c>
      <c r="AD11" s="99" t="e">
        <f t="shared" ca="1" si="3"/>
        <v>#REF!</v>
      </c>
    </row>
    <row r="12" spans="2:30" x14ac:dyDescent="0.25">
      <c r="B12" s="132" t="s">
        <v>161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</row>
    <row r="13" spans="2:30" x14ac:dyDescent="0.25">
      <c r="B13" s="11"/>
      <c r="C13" s="11"/>
      <c r="D13" s="12"/>
      <c r="E13" s="66"/>
      <c r="F13" s="6"/>
      <c r="G13" s="3"/>
      <c r="H13" s="3"/>
      <c r="I13" s="3"/>
      <c r="J13" s="40"/>
      <c r="K13" s="40"/>
      <c r="L13" s="40"/>
      <c r="M13" s="40"/>
    </row>
    <row r="14" spans="2:30" x14ac:dyDescent="0.25">
      <c r="B14" s="17" t="s">
        <v>26</v>
      </c>
      <c r="C14" s="2"/>
      <c r="D14" s="2"/>
      <c r="E14" s="64"/>
      <c r="F14" s="17"/>
      <c r="G14" s="2"/>
      <c r="H14" s="2"/>
      <c r="I14" s="2"/>
      <c r="J14" s="2"/>
      <c r="K14" s="2"/>
      <c r="L14" s="2"/>
      <c r="M14" s="2"/>
    </row>
    <row r="15" spans="2:30" x14ac:dyDescent="0.25">
      <c r="B15" s="18" t="s">
        <v>27</v>
      </c>
      <c r="C15" s="19"/>
      <c r="D15" s="19"/>
      <c r="E15" s="67"/>
      <c r="F15" s="19"/>
      <c r="G15" s="19"/>
      <c r="H15" s="19"/>
      <c r="I15" s="19"/>
      <c r="J15" s="80"/>
      <c r="K15" s="80"/>
      <c r="L15" s="80"/>
      <c r="M15" s="80"/>
    </row>
    <row r="16" spans="2:30" x14ac:dyDescent="0.25">
      <c r="B16" s="18" t="s">
        <v>28</v>
      </c>
      <c r="C16" s="19"/>
      <c r="D16" s="19"/>
      <c r="E16" s="67"/>
      <c r="F16" s="19"/>
      <c r="G16" s="19"/>
      <c r="H16" s="19"/>
      <c r="I16" s="19"/>
      <c r="J16" s="80"/>
      <c r="K16" s="80"/>
      <c r="L16" s="82"/>
      <c r="M16" s="80"/>
      <c r="X16" s="94" t="s">
        <v>26</v>
      </c>
    </row>
    <row r="17" spans="1:30" x14ac:dyDescent="0.25">
      <c r="B17" s="20" t="e">
        <f ca="1">S17</f>
        <v>#REF!</v>
      </c>
      <c r="C17" s="18" t="s">
        <v>29</v>
      </c>
      <c r="E17" s="68"/>
      <c r="F17" s="19"/>
      <c r="G17" s="19"/>
      <c r="H17" s="19"/>
      <c r="I17" s="21"/>
      <c r="J17" s="21"/>
      <c r="K17" s="16"/>
      <c r="L17" s="21"/>
      <c r="M17" s="49"/>
      <c r="O17" s="85" t="s">
        <v>149</v>
      </c>
      <c r="P17" s="86" t="s">
        <v>127</v>
      </c>
      <c r="S17" s="91" t="e" cm="1">
        <f t="array" aca="1" ref="S17" ca="1">IF($O17="Y",VLOOKUP($P17,INDIRECT($P$3),S$5,0)*INDIRECT($O$2),VLOOKUP($P17,INDIRECT($P$3),S$5,0))</f>
        <v>#REF!</v>
      </c>
      <c r="X17" s="94" t="str">
        <f>P17</f>
        <v>Year 10</v>
      </c>
      <c r="AA17" s="99" t="e">
        <f t="shared" ref="AA17:AA20" ca="1" si="15">ROUND(S17,3)</f>
        <v>#REF!</v>
      </c>
    </row>
    <row r="18" spans="1:30" x14ac:dyDescent="0.25">
      <c r="B18" s="20" t="e">
        <f t="shared" ref="B18:B20" ca="1" si="16">S18</f>
        <v>#REF!</v>
      </c>
      <c r="C18" s="18" t="s">
        <v>30</v>
      </c>
      <c r="E18" s="68"/>
      <c r="F18" s="19"/>
      <c r="G18" s="19"/>
      <c r="H18" s="19"/>
      <c r="I18" s="21"/>
      <c r="J18" s="21"/>
      <c r="K18" s="16"/>
      <c r="L18" s="21"/>
      <c r="M18" s="49"/>
      <c r="O18" s="85" t="s">
        <v>149</v>
      </c>
      <c r="P18" s="86" t="s">
        <v>128</v>
      </c>
      <c r="S18" s="91" t="e" cm="1">
        <f t="array" aca="1" ref="S18" ca="1">IF($O18="Y",VLOOKUP($P18,INDIRECT($P$3),S$5,0)*INDIRECT($O$2),VLOOKUP($P18,INDIRECT($P$3),S$5,0))</f>
        <v>#REF!</v>
      </c>
      <c r="X18" s="94" t="str">
        <f t="shared" ref="X18:X20" si="17">P18</f>
        <v>Year 15</v>
      </c>
      <c r="AA18" s="99" t="e">
        <f t="shared" ca="1" si="15"/>
        <v>#REF!</v>
      </c>
    </row>
    <row r="19" spans="1:30" x14ac:dyDescent="0.25">
      <c r="B19" s="20" t="e">
        <f t="shared" ca="1" si="16"/>
        <v>#REF!</v>
      </c>
      <c r="C19" s="18" t="s">
        <v>31</v>
      </c>
      <c r="E19" s="68"/>
      <c r="F19" s="19"/>
      <c r="G19" s="19"/>
      <c r="H19" s="19"/>
      <c r="I19" s="21"/>
      <c r="J19" s="21"/>
      <c r="K19" s="16"/>
      <c r="L19" s="2"/>
      <c r="M19" s="49"/>
      <c r="O19" s="85" t="s">
        <v>149</v>
      </c>
      <c r="P19" s="86" t="s">
        <v>129</v>
      </c>
      <c r="S19" s="91" t="e" cm="1">
        <f t="array" aca="1" ref="S19" ca="1">IF($O19="Y",VLOOKUP($P19,INDIRECT($P$3),S$5,0)*INDIRECT($O$2),VLOOKUP($P19,INDIRECT($P$3),S$5,0))</f>
        <v>#REF!</v>
      </c>
      <c r="X19" s="94" t="str">
        <f t="shared" si="17"/>
        <v>Year 20</v>
      </c>
      <c r="AA19" s="99" t="e">
        <f t="shared" ca="1" si="15"/>
        <v>#REF!</v>
      </c>
    </row>
    <row r="20" spans="1:30" x14ac:dyDescent="0.25">
      <c r="B20" s="20" t="e">
        <f t="shared" ca="1" si="16"/>
        <v>#REF!</v>
      </c>
      <c r="C20" s="18" t="s">
        <v>32</v>
      </c>
      <c r="E20" s="67"/>
      <c r="F20" s="19"/>
      <c r="G20" s="19"/>
      <c r="H20" s="19"/>
      <c r="I20" s="21"/>
      <c r="J20" s="21"/>
      <c r="K20" s="16"/>
      <c r="L20" s="21"/>
      <c r="M20" s="49"/>
      <c r="O20" s="85" t="s">
        <v>149</v>
      </c>
      <c r="P20" s="86" t="s">
        <v>130</v>
      </c>
      <c r="S20" s="91" t="e" cm="1">
        <f t="array" aca="1" ref="S20" ca="1">IF($O20="Y",VLOOKUP($P20,INDIRECT($P$3),S$5,0)*INDIRECT($O$2),VLOOKUP($P20,INDIRECT($P$3),S$5,0))</f>
        <v>#REF!</v>
      </c>
      <c r="X20" s="94" t="str">
        <f t="shared" si="17"/>
        <v>Year 25</v>
      </c>
      <c r="AA20" s="99" t="e">
        <f t="shared" ca="1" si="15"/>
        <v>#REF!</v>
      </c>
    </row>
    <row r="21" spans="1:30" x14ac:dyDescent="0.25">
      <c r="B21" s="17"/>
      <c r="C21" s="2"/>
      <c r="D21" s="2"/>
      <c r="E21" s="64"/>
      <c r="F21" s="17"/>
      <c r="G21" s="2"/>
      <c r="H21" s="2"/>
      <c r="I21" s="2"/>
      <c r="K21" s="2"/>
      <c r="L21" s="2"/>
      <c r="M21" s="2"/>
    </row>
    <row r="22" spans="1:30" x14ac:dyDescent="0.25">
      <c r="B22" s="23" t="s">
        <v>33</v>
      </c>
      <c r="C22" s="21"/>
      <c r="D22" s="21"/>
      <c r="E22" s="69"/>
      <c r="F22" s="21"/>
      <c r="G22" s="21"/>
      <c r="H22" s="21"/>
      <c r="I22" s="21"/>
      <c r="J22" s="21"/>
      <c r="K22" s="21"/>
      <c r="L22" s="21"/>
      <c r="M22" s="21"/>
    </row>
    <row r="23" spans="1:30" x14ac:dyDescent="0.25">
      <c r="B23" s="18" t="s">
        <v>58</v>
      </c>
      <c r="C23" s="19"/>
      <c r="D23" s="19"/>
      <c r="E23" s="67"/>
      <c r="F23" s="19"/>
      <c r="G23" s="19"/>
      <c r="H23" s="19"/>
      <c r="I23" s="19"/>
      <c r="J23" s="21"/>
      <c r="K23" s="21"/>
      <c r="L23" s="21"/>
      <c r="M23" s="21"/>
    </row>
    <row r="24" spans="1:30" x14ac:dyDescent="0.25">
      <c r="B24" s="18" t="str">
        <f>"effective 1/1/2023, the safety shoe rate was increased from $0.070 to "&amp;TEXT(S24,"$0.000")&amp;" per hour"</f>
        <v>effective 1/1/2023, the safety shoe rate was increased from $0.070 to $0.100 per hour</v>
      </c>
      <c r="C24" s="19"/>
      <c r="D24" s="19"/>
      <c r="E24" s="67"/>
      <c r="F24" s="19"/>
      <c r="G24" s="74"/>
      <c r="H24" s="19"/>
      <c r="I24" s="19"/>
      <c r="J24" s="21"/>
      <c r="K24" s="21"/>
      <c r="L24" s="21"/>
      <c r="M24" s="21"/>
      <c r="O24" s="85" t="s">
        <v>8</v>
      </c>
      <c r="P24" s="86" t="s">
        <v>33</v>
      </c>
      <c r="S24" s="91">
        <v>0.1</v>
      </c>
      <c r="X24" s="94" t="str">
        <f t="shared" ref="X24" si="18">P24</f>
        <v>Safety Shoes</v>
      </c>
      <c r="AA24" s="99">
        <f t="shared" ref="AA24" si="19">ROUND(S24,3)</f>
        <v>0.1</v>
      </c>
    </row>
    <row r="25" spans="1:30" x14ac:dyDescent="0.25">
      <c r="B25" s="18"/>
      <c r="C25" s="19"/>
      <c r="D25" s="19"/>
      <c r="E25" s="67"/>
      <c r="F25" s="19"/>
      <c r="G25" s="19"/>
      <c r="H25" s="19"/>
      <c r="I25" s="19"/>
      <c r="J25" s="21"/>
      <c r="K25" s="21"/>
      <c r="L25" s="21"/>
      <c r="M25" s="21"/>
    </row>
    <row r="26" spans="1:30" s="26" customFormat="1" x14ac:dyDescent="0.25">
      <c r="B26" s="26" t="s">
        <v>160</v>
      </c>
      <c r="E26" s="70"/>
      <c r="O26" s="92"/>
      <c r="P26" s="93"/>
      <c r="Q26" s="92"/>
      <c r="R26" s="93"/>
      <c r="S26" s="93"/>
      <c r="T26" s="93"/>
      <c r="U26" s="93"/>
      <c r="V26" s="93"/>
      <c r="X26" s="100"/>
      <c r="Y26" s="100"/>
      <c r="Z26" s="100"/>
      <c r="AA26" s="113"/>
      <c r="AB26" s="100"/>
      <c r="AC26" s="100"/>
      <c r="AD26" s="100"/>
    </row>
    <row r="27" spans="1:30" x14ac:dyDescent="0.25">
      <c r="B27" s="4" t="s">
        <v>168</v>
      </c>
    </row>
    <row r="28" spans="1:30" x14ac:dyDescent="0.25">
      <c r="A28" t="s">
        <v>124</v>
      </c>
      <c r="B28" s="20" t="e">
        <f t="shared" ref="B28:B30" ca="1" si="20">S28</f>
        <v>#REF!</v>
      </c>
      <c r="C28" s="4" t="s">
        <v>169</v>
      </c>
      <c r="M28" s="21"/>
      <c r="O28" s="85" t="s">
        <v>149</v>
      </c>
      <c r="P28" s="86" t="s">
        <v>124</v>
      </c>
      <c r="Q28" s="85" t="s">
        <v>136</v>
      </c>
      <c r="S28" s="91" t="e" cm="1">
        <f t="array" aca="1" ref="S28" ca="1">IF($O28="Y",VLOOKUP($P28,INDIRECT($P$3),S$5,0)*INDIRECT($O$2),VLOOKUP($P28,INDIRECT($P$3),S$5,0))</f>
        <v>#REF!</v>
      </c>
      <c r="X28" s="94" t="str">
        <f t="shared" ref="X28:Y30" si="21">P28</f>
        <v>CAWWOC</v>
      </c>
      <c r="Y28" s="94" t="str">
        <f t="shared" si="21"/>
        <v>Water Operator Certification-C</v>
      </c>
      <c r="AA28" s="99" t="e">
        <f t="shared" ref="AA28:AA30" ca="1" si="22">ROUND(S28,3)</f>
        <v>#REF!</v>
      </c>
    </row>
    <row r="29" spans="1:30" x14ac:dyDescent="0.25">
      <c r="A29" t="s">
        <v>123</v>
      </c>
      <c r="B29" s="20" t="e">
        <f t="shared" ca="1" si="20"/>
        <v>#REF!</v>
      </c>
      <c r="C29" s="4" t="s">
        <v>48</v>
      </c>
      <c r="M29" s="21"/>
      <c r="O29" s="85" t="s">
        <v>149</v>
      </c>
      <c r="P29" s="86" t="s">
        <v>123</v>
      </c>
      <c r="Q29" s="85" t="s">
        <v>137</v>
      </c>
      <c r="S29" s="91" t="e" cm="1">
        <f t="array" aca="1" ref="S29" ca="1">IF($O29="Y",VLOOKUP($P29,INDIRECT($P$3),S$5,0)*INDIRECT($O$2),VLOOKUP($P29,INDIRECT($P$3),S$5,0))</f>
        <v>#REF!</v>
      </c>
      <c r="X29" s="94" t="str">
        <f t="shared" si="21"/>
        <v>CAWWOB</v>
      </c>
      <c r="Y29" s="94" t="str">
        <f t="shared" si="21"/>
        <v>Water Operator Certification-B</v>
      </c>
      <c r="AA29" s="99" t="e">
        <f t="shared" ca="1" si="22"/>
        <v>#REF!</v>
      </c>
    </row>
    <row r="30" spans="1:30" x14ac:dyDescent="0.25">
      <c r="A30" t="s">
        <v>122</v>
      </c>
      <c r="B30" s="20" t="e">
        <f t="shared" ca="1" si="20"/>
        <v>#REF!</v>
      </c>
      <c r="C30" s="4" t="s">
        <v>49</v>
      </c>
      <c r="M30" s="21"/>
      <c r="O30" s="85" t="s">
        <v>149</v>
      </c>
      <c r="P30" s="86" t="s">
        <v>122</v>
      </c>
      <c r="Q30" s="85" t="s">
        <v>138</v>
      </c>
      <c r="S30" s="91" t="e" cm="1">
        <f t="array" aca="1" ref="S30" ca="1">IF($O30="Y",VLOOKUP($P30,INDIRECT($P$3),S$5,0)*INDIRECT($O$2),VLOOKUP($P30,INDIRECT($P$3),S$5,0))</f>
        <v>#REF!</v>
      </c>
      <c r="X30" s="94" t="str">
        <f t="shared" si="21"/>
        <v>CAWWOA</v>
      </c>
      <c r="Y30" s="94" t="str">
        <f t="shared" si="21"/>
        <v>Water Operator Certification-A</v>
      </c>
      <c r="AA30" s="99" t="e">
        <f t="shared" ca="1" si="22"/>
        <v>#REF!</v>
      </c>
    </row>
    <row r="32" spans="1:30" x14ac:dyDescent="0.25">
      <c r="B32" s="24" t="s">
        <v>170</v>
      </c>
      <c r="C32" s="27"/>
      <c r="D32" s="27"/>
      <c r="E32" s="72"/>
      <c r="F32" s="29"/>
      <c r="G32" s="29"/>
      <c r="H32" s="29"/>
      <c r="I32" s="29"/>
      <c r="J32" s="29"/>
      <c r="K32" s="29"/>
      <c r="L32" s="29"/>
      <c r="M32" s="29"/>
    </row>
    <row r="33" spans="1:27" x14ac:dyDescent="0.25">
      <c r="B33" s="20" t="e">
        <f t="shared" ref="B33" ca="1" si="23">S33</f>
        <v>#REF!</v>
      </c>
      <c r="C33" s="37" t="s">
        <v>106</v>
      </c>
      <c r="D33" s="37" t="s">
        <v>172</v>
      </c>
      <c r="E33" s="73"/>
      <c r="F33" s="33"/>
      <c r="G33" s="33"/>
      <c r="H33" s="33"/>
      <c r="I33" s="33"/>
      <c r="J33" s="33"/>
      <c r="K33" s="29"/>
      <c r="L33" s="29"/>
      <c r="M33" s="29"/>
      <c r="O33" s="85" t="s">
        <v>149</v>
      </c>
      <c r="P33" s="86" t="s">
        <v>125</v>
      </c>
      <c r="Q33" s="85" t="s">
        <v>139</v>
      </c>
      <c r="S33" s="91" t="e" cm="1">
        <f t="array" aca="1" ref="S33" ca="1">IF($O33="Y",VLOOKUP($P33,INDIRECT($P$3),S$5,0)*INDIRECT($O$2),VLOOKUP($P33,INDIRECT($P$3),S$5,0))</f>
        <v>#REF!</v>
      </c>
      <c r="X33" s="94" t="str">
        <f t="shared" ref="X33:Y34" si="24">P33</f>
        <v>CAWEVE</v>
      </c>
      <c r="Y33" s="94" t="str">
        <f t="shared" si="24"/>
        <v>TL-Afternoon Shift Premium-CAW</v>
      </c>
      <c r="AA33" s="99" t="e">
        <f t="shared" ref="AA33:AA34" ca="1" si="25">ROUND(S33,3)</f>
        <v>#REF!</v>
      </c>
    </row>
    <row r="34" spans="1:27" x14ac:dyDescent="0.25">
      <c r="B34" s="30"/>
      <c r="C34" s="37"/>
      <c r="D34" s="37" t="s">
        <v>171</v>
      </c>
      <c r="E34" s="73"/>
      <c r="F34" s="33"/>
      <c r="G34" s="33"/>
      <c r="H34" s="33"/>
      <c r="I34" s="33"/>
      <c r="J34" s="33"/>
      <c r="K34" s="29"/>
      <c r="L34" s="29"/>
      <c r="M34" s="29"/>
      <c r="O34" s="85" t="s">
        <v>149</v>
      </c>
      <c r="P34" s="86" t="s">
        <v>154</v>
      </c>
      <c r="Q34" s="85" t="s">
        <v>163</v>
      </c>
      <c r="S34" s="91" t="e">
        <f ca="1">S33</f>
        <v>#REF!</v>
      </c>
      <c r="X34" s="94" t="str">
        <f t="shared" si="24"/>
        <v>CAWWKE</v>
      </c>
      <c r="Y34" s="94" t="str">
        <f t="shared" si="24"/>
        <v>Weekend shift-CAW</v>
      </c>
      <c r="AA34" s="99" t="e">
        <f t="shared" ca="1" si="25"/>
        <v>#REF!</v>
      </c>
    </row>
    <row r="35" spans="1:27" x14ac:dyDescent="0.25">
      <c r="B35" s="20" t="e">
        <f t="shared" ref="B35" ca="1" si="26">S35</f>
        <v>#REF!</v>
      </c>
      <c r="C35" s="37" t="s">
        <v>106</v>
      </c>
      <c r="D35" s="37" t="s">
        <v>185</v>
      </c>
      <c r="E35" s="73"/>
      <c r="F35" s="33"/>
      <c r="G35" s="33"/>
      <c r="H35" s="33"/>
      <c r="I35" s="33"/>
      <c r="J35" s="33"/>
      <c r="K35" s="29"/>
      <c r="L35" s="29"/>
      <c r="M35" s="29"/>
      <c r="O35" s="85" t="s">
        <v>149</v>
      </c>
      <c r="P35" s="86" t="s">
        <v>126</v>
      </c>
      <c r="Q35" s="85" t="s">
        <v>140</v>
      </c>
      <c r="S35" s="91" t="e" cm="1">
        <f t="array" aca="1" ref="S35" ca="1">IF($O35="Y",VLOOKUP($P35,INDIRECT($P$3),S$5,0)*INDIRECT($O$2),VLOOKUP($P35,INDIRECT($P$3),S$5,0))</f>
        <v>#REF!</v>
      </c>
      <c r="X35" s="94" t="str">
        <f t="shared" ref="X35" si="27">P35</f>
        <v>CAWNIT</v>
      </c>
      <c r="Y35" s="94" t="str">
        <f t="shared" ref="Y35" si="28">Q35</f>
        <v>TL-Night Shift Premium-CPL</v>
      </c>
      <c r="AA35" s="99" t="e">
        <f t="shared" ref="AA35" ca="1" si="29">ROUND(S35,3)</f>
        <v>#REF!</v>
      </c>
    </row>
    <row r="36" spans="1:27" x14ac:dyDescent="0.25">
      <c r="B36" s="30"/>
      <c r="C36" s="31"/>
      <c r="D36" s="31"/>
      <c r="E36" s="73"/>
      <c r="F36" s="33"/>
      <c r="G36" s="33"/>
      <c r="H36" s="33"/>
      <c r="I36" s="33"/>
      <c r="J36" s="33"/>
      <c r="K36" s="29"/>
      <c r="L36" s="29"/>
      <c r="M36" s="29"/>
    </row>
    <row r="37" spans="1:27" x14ac:dyDescent="0.25">
      <c r="B37" s="103" t="s">
        <v>178</v>
      </c>
      <c r="C37" s="36"/>
      <c r="D37" s="34"/>
      <c r="E37" s="73"/>
      <c r="F37" s="33"/>
      <c r="G37" s="35"/>
      <c r="H37" s="35"/>
      <c r="I37" s="35"/>
      <c r="J37" s="38"/>
      <c r="K37" s="39"/>
      <c r="L37" s="33"/>
      <c r="M37" s="33"/>
    </row>
    <row r="38" spans="1:27" x14ac:dyDescent="0.25">
      <c r="B38" s="22" t="e">
        <f ca="1">S38</f>
        <v>#REF!</v>
      </c>
      <c r="C38" s="119" t="s">
        <v>106</v>
      </c>
      <c r="D38" s="119" t="s">
        <v>173</v>
      </c>
      <c r="E38" s="73"/>
      <c r="F38" s="33"/>
      <c r="G38" s="35"/>
      <c r="H38" s="35"/>
      <c r="I38" s="35"/>
      <c r="J38" s="38"/>
      <c r="K38" s="39"/>
      <c r="L38" s="33"/>
      <c r="M38" s="33"/>
      <c r="O38" s="85" t="s">
        <v>149</v>
      </c>
      <c r="P38" s="86" t="s">
        <v>164</v>
      </c>
      <c r="Q38" s="85" t="s">
        <v>165</v>
      </c>
      <c r="S38" s="91" t="e" cm="1">
        <f t="array" aca="1" ref="S38" ca="1">IF($O38="Y",VLOOKUP($P38,INDIRECT($P$3),S$5,0)*INDIRECT($O$2),VLOOKUP($P38,INDIRECT($P$3),S$5,0))</f>
        <v>#REF!</v>
      </c>
      <c r="T38" s="105"/>
      <c r="X38" s="94" t="str">
        <f>P38</f>
        <v>CAWGLA</v>
      </c>
      <c r="Y38" s="94" t="str">
        <f t="shared" ref="Y38:Y42" si="30">Q38</f>
        <v>Gate Truck Lead Assignment</v>
      </c>
      <c r="AA38" s="99" t="e">
        <f t="shared" ref="AA38:AA42" ca="1" si="31">ROUND(S38,3)</f>
        <v>#REF!</v>
      </c>
    </row>
    <row r="39" spans="1:27" x14ac:dyDescent="0.25">
      <c r="A39" s="104"/>
      <c r="B39" s="22" t="e">
        <f t="shared" ref="B39:B42" ca="1" si="32">S39</f>
        <v>#REF!</v>
      </c>
      <c r="C39" s="119" t="s">
        <v>106</v>
      </c>
      <c r="D39" s="119" t="s">
        <v>174</v>
      </c>
      <c r="E39" s="73"/>
      <c r="F39" s="33"/>
      <c r="G39" s="35"/>
      <c r="H39" s="35"/>
      <c r="I39" s="35"/>
      <c r="J39" s="38"/>
      <c r="K39" s="39"/>
      <c r="L39" s="33"/>
      <c r="M39" s="33"/>
      <c r="O39" s="85" t="s">
        <v>149</v>
      </c>
      <c r="P39" s="86" t="s">
        <v>118</v>
      </c>
      <c r="Q39" s="85" t="s">
        <v>131</v>
      </c>
      <c r="S39" s="91" t="e" cm="1">
        <f t="array" aca="1" ref="S39" ca="1">IF($O39="Y",VLOOKUP($P39,INDIRECT($P$3),S$5,0)*INDIRECT($O$2),VLOOKUP($P39,INDIRECT($P$3),S$5,0))</f>
        <v>#REF!</v>
      </c>
      <c r="X39" s="94" t="str">
        <f>P39</f>
        <v>CAWGTT</v>
      </c>
      <c r="Y39" s="94" t="str">
        <f t="shared" si="30"/>
        <v>TL-Gate Truck Premium-CAW</v>
      </c>
      <c r="AA39" s="99" t="e">
        <f t="shared" ca="1" si="31"/>
        <v>#REF!</v>
      </c>
    </row>
    <row r="40" spans="1:27" x14ac:dyDescent="0.25">
      <c r="A40" s="104"/>
      <c r="B40" s="22" t="e">
        <f t="shared" ca="1" si="32"/>
        <v>#REF!</v>
      </c>
      <c r="C40" s="118" t="s">
        <v>106</v>
      </c>
      <c r="D40" s="118" t="s">
        <v>175</v>
      </c>
      <c r="E40" s="73"/>
      <c r="F40" s="33"/>
      <c r="G40" s="35"/>
      <c r="H40" s="35"/>
      <c r="I40" s="35"/>
      <c r="J40" s="33"/>
      <c r="K40" s="33"/>
      <c r="L40" s="33"/>
      <c r="M40" s="33"/>
      <c r="O40" s="85" t="s">
        <v>149</v>
      </c>
      <c r="P40" s="86" t="s">
        <v>117</v>
      </c>
      <c r="Q40" s="85" t="s">
        <v>156</v>
      </c>
      <c r="S40" s="91" t="e" cm="1">
        <f t="array" aca="1" ref="S40" ca="1">IF($O40="Y",VLOOKUP($P40,INDIRECT($P$3),S$5,0)*INDIRECT($O$2),VLOOKUP($P40,INDIRECT($P$3),S$5,0))</f>
        <v>#REF!</v>
      </c>
      <c r="X40" s="94" t="str">
        <f>P40</f>
        <v>CAWTAP</v>
      </c>
      <c r="Y40" s="94" t="str">
        <f t="shared" si="30"/>
        <v>TL-Lrg &amp; Sml Taper Premium-CAW</v>
      </c>
      <c r="AA40" s="99" t="e">
        <f t="shared" ca="1" si="31"/>
        <v>#REF!</v>
      </c>
    </row>
    <row r="41" spans="1:27" x14ac:dyDescent="0.25">
      <c r="A41" s="104" t="s">
        <v>126</v>
      </c>
      <c r="B41" s="22" t="e">
        <f t="shared" ca="1" si="32"/>
        <v>#REF!</v>
      </c>
      <c r="C41" s="116" t="s">
        <v>106</v>
      </c>
      <c r="D41" s="117" t="s">
        <v>176</v>
      </c>
      <c r="E41" s="73"/>
      <c r="F41" s="29"/>
      <c r="G41" s="29"/>
      <c r="H41" s="35"/>
      <c r="I41" s="35"/>
      <c r="M41" s="33"/>
      <c r="O41" s="85" t="s">
        <v>149</v>
      </c>
      <c r="P41" s="86" t="s">
        <v>121</v>
      </c>
      <c r="Q41" s="85" t="s">
        <v>135</v>
      </c>
      <c r="S41" s="91" t="e" cm="1">
        <f t="array" aca="1" ref="S41" ca="1">IF($O41="Y",VLOOKUP($P41,INDIRECT($P$3),S$5,0)*INDIRECT($O$2),VLOOKUP($P41,INDIRECT($P$3),S$5,0))</f>
        <v>#REF!</v>
      </c>
      <c r="T41" s="106"/>
      <c r="X41" s="94" t="str">
        <f>P41</f>
        <v>CAWRSP</v>
      </c>
      <c r="Y41" s="94" t="str">
        <f t="shared" si="30"/>
        <v>TL-Respirator-CAW</v>
      </c>
      <c r="AA41" s="99" t="e">
        <f t="shared" ca="1" si="31"/>
        <v>#REF!</v>
      </c>
    </row>
    <row r="42" spans="1:27" x14ac:dyDescent="0.25">
      <c r="A42" s="104"/>
      <c r="B42" s="22" t="e">
        <f t="shared" ca="1" si="32"/>
        <v>#REF!</v>
      </c>
      <c r="C42" s="116" t="s">
        <v>106</v>
      </c>
      <c r="D42" s="118" t="s">
        <v>177</v>
      </c>
      <c r="E42" s="73"/>
      <c r="F42" s="33"/>
      <c r="G42" s="35"/>
      <c r="H42" s="35"/>
      <c r="I42" s="35"/>
      <c r="J42" s="33"/>
      <c r="K42" s="33"/>
      <c r="L42" s="33"/>
      <c r="M42" s="33"/>
      <c r="O42" s="85" t="s">
        <v>149</v>
      </c>
      <c r="P42" s="86" t="s">
        <v>166</v>
      </c>
      <c r="Q42" s="85" t="s">
        <v>167</v>
      </c>
      <c r="S42" s="91" t="e" cm="1">
        <f t="array" aca="1" ref="S42" ca="1">IF($O42="Y",VLOOKUP($P42,INDIRECT($P$3),S$5,0)*INDIRECT($O$2),VLOOKUP($P42,INDIRECT($P$3),S$5,0))</f>
        <v>#REF!</v>
      </c>
      <c r="X42" s="94" t="str">
        <f>P42</f>
        <v>CAWCMT</v>
      </c>
      <c r="Y42" s="94" t="str">
        <f t="shared" si="30"/>
        <v>Commercial Meter Testing (on-site)</v>
      </c>
      <c r="AA42" s="99" t="e">
        <f t="shared" ca="1" si="31"/>
        <v>#REF!</v>
      </c>
    </row>
    <row r="43" spans="1:27" x14ac:dyDescent="0.25">
      <c r="A43" s="104"/>
      <c r="B43" s="109"/>
      <c r="D43" s="37"/>
      <c r="E43" s="73"/>
      <c r="F43" s="33"/>
      <c r="G43" s="35"/>
      <c r="H43" s="35"/>
      <c r="I43" s="35"/>
      <c r="J43" s="33"/>
      <c r="K43" s="33"/>
      <c r="L43" s="33"/>
      <c r="M43" s="33"/>
      <c r="P43" s="85"/>
    </row>
    <row r="44" spans="1:27" x14ac:dyDescent="0.25">
      <c r="A44" s="104"/>
      <c r="B44" s="110"/>
      <c r="D44" s="37"/>
      <c r="E44" s="73"/>
      <c r="F44" s="33"/>
      <c r="G44" s="35"/>
      <c r="H44" s="35"/>
      <c r="I44" s="35"/>
      <c r="J44" s="33"/>
      <c r="K44" s="33"/>
      <c r="L44" s="33"/>
      <c r="M44" s="33"/>
    </row>
    <row r="45" spans="1:27" x14ac:dyDescent="0.25">
      <c r="A45" s="104"/>
      <c r="B45" s="111"/>
    </row>
    <row r="46" spans="1:27" x14ac:dyDescent="0.25">
      <c r="A46" s="104"/>
      <c r="B46" s="104"/>
    </row>
    <row r="47" spans="1:27" x14ac:dyDescent="0.25">
      <c r="A47" s="104"/>
      <c r="B47" s="108"/>
    </row>
    <row r="48" spans="1:27" x14ac:dyDescent="0.25">
      <c r="A48" s="104"/>
      <c r="B48" s="111"/>
    </row>
    <row r="49" spans="1:14" x14ac:dyDescent="0.25">
      <c r="A49" s="104"/>
      <c r="B49" s="111" t="s">
        <v>192</v>
      </c>
      <c r="N49" s="4" t="s">
        <v>193</v>
      </c>
    </row>
    <row r="50" spans="1:14" x14ac:dyDescent="0.25">
      <c r="A50" s="104"/>
      <c r="B50" s="104"/>
    </row>
    <row r="51" spans="1:14" x14ac:dyDescent="0.25">
      <c r="A51" s="104"/>
      <c r="B51" s="108"/>
    </row>
    <row r="52" spans="1:14" x14ac:dyDescent="0.25">
      <c r="A52" s="104"/>
      <c r="B52" s="111"/>
    </row>
    <row r="53" spans="1:14" x14ac:dyDescent="0.25">
      <c r="A53" s="104"/>
      <c r="B53" s="111"/>
    </row>
    <row r="54" spans="1:14" x14ac:dyDescent="0.25">
      <c r="A54" s="104"/>
      <c r="B54" s="111"/>
    </row>
    <row r="55" spans="1:14" x14ac:dyDescent="0.25">
      <c r="A55" s="104"/>
      <c r="B55" s="111"/>
    </row>
    <row r="56" spans="1:14" x14ac:dyDescent="0.25">
      <c r="A56" s="104"/>
      <c r="B56" s="104"/>
    </row>
    <row r="57" spans="1:14" x14ac:dyDescent="0.25">
      <c r="A57" s="104"/>
      <c r="B57" s="108"/>
    </row>
    <row r="58" spans="1:14" x14ac:dyDescent="0.25">
      <c r="A58" s="104"/>
      <c r="B58" s="111"/>
    </row>
    <row r="59" spans="1:14" x14ac:dyDescent="0.25">
      <c r="A59" s="104"/>
      <c r="B59" s="111"/>
    </row>
    <row r="60" spans="1:14" x14ac:dyDescent="0.25">
      <c r="A60" s="104"/>
      <c r="B60" s="111"/>
    </row>
  </sheetData>
  <mergeCells count="1">
    <mergeCell ref="B12:M12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E00EA-1FFE-4DEA-B950-D7721105C03E}">
  <dimension ref="A1:AD60"/>
  <sheetViews>
    <sheetView showGridLines="0" topLeftCell="B1" workbookViewId="0">
      <selection activeCell="J11" sqref="J11"/>
    </sheetView>
  </sheetViews>
  <sheetFormatPr defaultColWidth="9.140625" defaultRowHeight="15" x14ac:dyDescent="0.25"/>
  <cols>
    <col min="1" max="1" width="0" style="4" hidden="1" customWidth="1"/>
    <col min="2" max="2" width="10.42578125" style="4" customWidth="1"/>
    <col min="3" max="3" width="9.5703125" style="4" bestFit="1" customWidth="1"/>
    <col min="4" max="4" width="8.42578125" style="4" customWidth="1"/>
    <col min="5" max="5" width="7.140625" style="71" customWidth="1"/>
    <col min="6" max="6" width="42.5703125" style="4" customWidth="1"/>
    <col min="7" max="7" width="6.5703125" style="4" bestFit="1" customWidth="1"/>
    <col min="8" max="8" width="7.7109375" style="4" bestFit="1" customWidth="1"/>
    <col min="9" max="9" width="7.42578125" style="4" customWidth="1"/>
    <col min="10" max="12" width="8" style="4" customWidth="1"/>
    <col min="13" max="13" width="8.42578125" style="4" bestFit="1" customWidth="1"/>
    <col min="14" max="14" width="10.42578125" style="4" bestFit="1" customWidth="1"/>
    <col min="15" max="15" width="17.42578125" style="85" hidden="1" customWidth="1"/>
    <col min="16" max="16" width="12.28515625" style="86" hidden="1" customWidth="1"/>
    <col min="17" max="17" width="39.5703125" style="85" hidden="1" customWidth="1"/>
    <col min="18" max="18" width="4.28515625" style="86" hidden="1" customWidth="1"/>
    <col min="19" max="22" width="7.5703125" style="86" hidden="1" customWidth="1"/>
    <col min="23" max="23" width="9.140625" style="4" hidden="1" customWidth="1"/>
    <col min="24" max="24" width="17.28515625" style="94" hidden="1" customWidth="1"/>
    <col min="25" max="25" width="39.5703125" style="94" hidden="1" customWidth="1"/>
    <col min="26" max="26" width="4.28515625" style="94" hidden="1" customWidth="1"/>
    <col min="27" max="27" width="7.5703125" style="99" hidden="1" customWidth="1"/>
    <col min="28" max="30" width="7.5703125" style="94" hidden="1" customWidth="1"/>
    <col min="31" max="31" width="0" style="4" hidden="1" customWidth="1"/>
    <col min="32" max="16384" width="9.140625" style="4"/>
  </cols>
  <sheetData>
    <row r="1" spans="2:30" x14ac:dyDescent="0.25">
      <c r="B1" s="4" t="s">
        <v>191</v>
      </c>
    </row>
    <row r="2" spans="2:30" ht="18.75" x14ac:dyDescent="0.3">
      <c r="B2" s="1" t="s">
        <v>88</v>
      </c>
      <c r="C2" s="2"/>
      <c r="D2" s="2"/>
      <c r="E2" s="64"/>
      <c r="F2" s="2"/>
      <c r="G2" s="2"/>
      <c r="H2" s="3"/>
      <c r="I2" s="3"/>
      <c r="J2" s="3"/>
      <c r="O2" s="85" t="s">
        <v>182</v>
      </c>
      <c r="P2" s="101">
        <v>1.0249999999999999</v>
      </c>
      <c r="Q2" s="107"/>
      <c r="R2" s="91"/>
    </row>
    <row r="3" spans="2:30" x14ac:dyDescent="0.25">
      <c r="B3" s="114" t="s">
        <v>198</v>
      </c>
      <c r="C3" s="2"/>
      <c r="D3" s="2"/>
      <c r="E3" s="64"/>
      <c r="F3" s="2"/>
      <c r="G3" s="2"/>
      <c r="H3" s="3"/>
      <c r="I3" s="3"/>
      <c r="J3" s="3"/>
      <c r="O3" s="85" t="s">
        <v>143</v>
      </c>
      <c r="P3" s="102" t="s">
        <v>183</v>
      </c>
    </row>
    <row r="4" spans="2:30" x14ac:dyDescent="0.25">
      <c r="B4" s="115" t="s">
        <v>74</v>
      </c>
      <c r="C4" s="2"/>
      <c r="D4" s="2"/>
      <c r="E4" s="64"/>
      <c r="F4" s="2"/>
      <c r="G4" s="2"/>
      <c r="H4" s="3"/>
      <c r="I4" s="3"/>
      <c r="J4" s="3"/>
      <c r="P4" s="91"/>
    </row>
    <row r="5" spans="2:30" x14ac:dyDescent="0.25">
      <c r="B5" s="121" t="s">
        <v>199</v>
      </c>
      <c r="C5" s="2"/>
      <c r="D5" s="2"/>
      <c r="E5" s="64"/>
      <c r="F5" s="2"/>
      <c r="G5" s="2"/>
      <c r="H5" s="3"/>
      <c r="I5" s="3"/>
      <c r="J5" s="3"/>
      <c r="P5" s="91"/>
      <c r="S5" s="86">
        <v>4</v>
      </c>
      <c r="T5" s="86">
        <v>5</v>
      </c>
      <c r="U5" s="86">
        <v>6</v>
      </c>
      <c r="V5" s="86">
        <v>7</v>
      </c>
      <c r="X5" s="94" t="s">
        <v>195</v>
      </c>
    </row>
    <row r="6" spans="2:30" x14ac:dyDescent="0.25">
      <c r="B6" s="121"/>
      <c r="C6" s="2"/>
      <c r="D6" s="2"/>
      <c r="E6" s="64"/>
      <c r="F6" s="2"/>
      <c r="G6" s="2"/>
      <c r="H6" s="3"/>
      <c r="I6" s="3"/>
      <c r="J6" s="3"/>
      <c r="P6" s="91"/>
      <c r="X6" s="94" t="s">
        <v>194</v>
      </c>
    </row>
    <row r="7" spans="2:30" s="10" customFormat="1" ht="30" x14ac:dyDescent="0.25">
      <c r="B7" s="7" t="s">
        <v>1</v>
      </c>
      <c r="C7" s="7" t="s">
        <v>70</v>
      </c>
      <c r="D7" s="7" t="s">
        <v>71</v>
      </c>
      <c r="E7" s="65" t="s">
        <v>86</v>
      </c>
      <c r="F7" s="8" t="s">
        <v>63</v>
      </c>
      <c r="G7" s="7" t="s">
        <v>3</v>
      </c>
      <c r="H7" s="7" t="s">
        <v>150</v>
      </c>
      <c r="I7" s="7" t="s">
        <v>69</v>
      </c>
      <c r="J7" s="7" t="s">
        <v>4</v>
      </c>
      <c r="K7" s="7" t="s">
        <v>5</v>
      </c>
      <c r="L7" s="7" t="s">
        <v>6</v>
      </c>
      <c r="M7" s="7" t="s">
        <v>7</v>
      </c>
      <c r="O7" s="87" t="s">
        <v>148</v>
      </c>
      <c r="P7" s="88" t="s">
        <v>71</v>
      </c>
      <c r="Q7" s="87" t="s">
        <v>141</v>
      </c>
      <c r="R7" s="88" t="s">
        <v>2</v>
      </c>
      <c r="S7" s="89" t="s">
        <v>4</v>
      </c>
      <c r="T7" s="89" t="s">
        <v>5</v>
      </c>
      <c r="U7" s="89" t="s">
        <v>6</v>
      </c>
      <c r="V7" s="89" t="s">
        <v>7</v>
      </c>
      <c r="X7" s="95" t="s">
        <v>71</v>
      </c>
      <c r="Y7" s="96" t="s">
        <v>141</v>
      </c>
      <c r="Z7" s="95" t="s">
        <v>2</v>
      </c>
      <c r="AA7" s="112" t="s">
        <v>4</v>
      </c>
      <c r="AB7" s="97" t="s">
        <v>5</v>
      </c>
      <c r="AC7" s="97" t="s">
        <v>6</v>
      </c>
      <c r="AD7" s="97" t="s">
        <v>7</v>
      </c>
    </row>
    <row r="8" spans="2:30" x14ac:dyDescent="0.25">
      <c r="B8" s="11" t="s">
        <v>8</v>
      </c>
      <c r="C8" s="11">
        <v>2</v>
      </c>
      <c r="D8" s="60" t="s">
        <v>75</v>
      </c>
      <c r="E8" s="66" t="s">
        <v>113</v>
      </c>
      <c r="F8" s="6" t="s">
        <v>87</v>
      </c>
      <c r="G8" s="3" t="s">
        <v>62</v>
      </c>
      <c r="H8" s="3" t="s">
        <v>76</v>
      </c>
      <c r="I8" s="3" t="s">
        <v>12</v>
      </c>
      <c r="J8" s="50">
        <f t="shared" ref="J8:M11" ca="1" si="0">S8</f>
        <v>21.625336932890619</v>
      </c>
      <c r="K8" s="50" t="str">
        <f ca="1">TEXT(T8,"$#.000")&amp;"*"</f>
        <v>$23.934*</v>
      </c>
      <c r="L8" s="40"/>
      <c r="M8" s="40"/>
      <c r="O8" s="85" t="s">
        <v>149</v>
      </c>
      <c r="P8" s="86" t="str">
        <f>D8</f>
        <v>52917C</v>
      </c>
      <c r="Q8" s="85" t="str">
        <f t="shared" ref="Q8:Q11" si="1">F8</f>
        <v>Water Distribution Operator Trainee</v>
      </c>
      <c r="R8" s="90" t="str">
        <f>E8</f>
        <v>04</v>
      </c>
      <c r="S8" s="91" cm="1">
        <f t="array" aca="1" ref="S8" ca="1">IF($O8="Y",VLOOKUP($P8,INDIRECT($P$3),S$5,0)*INDIRECT($O$2),VLOOKUP($P8,INDIRECT($P$3),S$5,0))</f>
        <v>21.625336932890619</v>
      </c>
      <c r="T8" s="91" cm="1">
        <f t="array" aca="1" ref="T8" ca="1">IF($O8="Y",VLOOKUP($P8,INDIRECT($P$3),T$5,0)*INDIRECT($O$2),VLOOKUP($P8,INDIRECT($P$3),T$5,0))</f>
        <v>23.933611307890619</v>
      </c>
      <c r="U8" s="91"/>
      <c r="V8" s="91"/>
      <c r="X8" s="94" t="str">
        <f t="shared" ref="X8:Z10" si="2">P8</f>
        <v>52917C</v>
      </c>
      <c r="Y8" s="94" t="str">
        <f t="shared" si="2"/>
        <v>Water Distribution Operator Trainee</v>
      </c>
      <c r="Z8" s="98" t="str">
        <f t="shared" si="2"/>
        <v>04</v>
      </c>
      <c r="AA8" s="99">
        <f t="shared" ref="AA8:AD11" ca="1" si="3">ROUND(S8,3)</f>
        <v>21.625</v>
      </c>
      <c r="AB8" s="99">
        <f t="shared" ca="1" si="3"/>
        <v>23.934000000000001</v>
      </c>
      <c r="AC8" s="99"/>
      <c r="AD8" s="99"/>
    </row>
    <row r="9" spans="2:30" x14ac:dyDescent="0.25">
      <c r="B9" s="11" t="s">
        <v>8</v>
      </c>
      <c r="C9" s="11">
        <v>2</v>
      </c>
      <c r="D9" s="80" t="s">
        <v>90</v>
      </c>
      <c r="E9" s="61" t="s">
        <v>21</v>
      </c>
      <c r="F9" s="6" t="s">
        <v>56</v>
      </c>
      <c r="G9" s="3">
        <v>295</v>
      </c>
      <c r="H9" s="3">
        <v>6</v>
      </c>
      <c r="I9" s="3" t="s">
        <v>12</v>
      </c>
      <c r="J9" s="50">
        <f t="shared" si="0"/>
        <v>33.655144284867177</v>
      </c>
      <c r="K9" s="50">
        <f t="shared" si="0"/>
        <v>35.322013746335926</v>
      </c>
      <c r="L9" s="50">
        <f t="shared" si="0"/>
        <v>37.074297326171866</v>
      </c>
      <c r="M9" s="50">
        <f t="shared" si="0"/>
        <v>38.92</v>
      </c>
      <c r="N9" s="58"/>
      <c r="O9" s="85" t="s">
        <v>149</v>
      </c>
      <c r="P9" s="86" t="str">
        <f>D9</f>
        <v>52938C</v>
      </c>
      <c r="Q9" s="85" t="str">
        <f t="shared" si="1"/>
        <v>Water Distribution Operator</v>
      </c>
      <c r="R9" s="90" t="str">
        <f>E9</f>
        <v>01</v>
      </c>
      <c r="S9" s="125">
        <v>33.655144284867177</v>
      </c>
      <c r="T9" s="125">
        <v>35.322013746335926</v>
      </c>
      <c r="U9" s="125">
        <v>37.074297326171866</v>
      </c>
      <c r="V9" s="125">
        <v>38.92</v>
      </c>
      <c r="X9" s="94" t="str">
        <f t="shared" si="2"/>
        <v>52938C</v>
      </c>
      <c r="Y9" s="94" t="str">
        <f t="shared" si="2"/>
        <v>Water Distribution Operator</v>
      </c>
      <c r="Z9" s="98" t="str">
        <f t="shared" si="2"/>
        <v>01</v>
      </c>
      <c r="AA9" s="99">
        <f t="shared" si="3"/>
        <v>33.655000000000001</v>
      </c>
      <c r="AB9" s="99">
        <f t="shared" si="3"/>
        <v>35.322000000000003</v>
      </c>
      <c r="AC9" s="99">
        <f t="shared" si="3"/>
        <v>37.073999999999998</v>
      </c>
      <c r="AD9" s="99">
        <f t="shared" si="3"/>
        <v>38.92</v>
      </c>
    </row>
    <row r="10" spans="2:30" x14ac:dyDescent="0.25">
      <c r="B10" s="11" t="s">
        <v>8</v>
      </c>
      <c r="C10" s="11">
        <v>2</v>
      </c>
      <c r="D10" s="80" t="s">
        <v>188</v>
      </c>
      <c r="E10" s="61" t="s">
        <v>189</v>
      </c>
      <c r="F10" s="6" t="s">
        <v>190</v>
      </c>
      <c r="G10" s="3">
        <v>345</v>
      </c>
      <c r="H10" s="3">
        <v>7</v>
      </c>
      <c r="I10" s="3" t="s">
        <v>12</v>
      </c>
      <c r="J10" s="50">
        <f t="shared" ca="1" si="0"/>
        <v>35.877049999999997</v>
      </c>
      <c r="K10" s="50">
        <f t="shared" ca="1" si="0"/>
        <v>37.766124999999995</v>
      </c>
      <c r="L10" s="50">
        <f t="shared" ca="1" si="0"/>
        <v>39.753599999999999</v>
      </c>
      <c r="M10" s="50">
        <f t="shared" ca="1" si="0"/>
        <v>41.845624999999998</v>
      </c>
      <c r="N10" s="58"/>
      <c r="O10" s="85" t="s">
        <v>149</v>
      </c>
      <c r="P10" s="86" t="s">
        <v>188</v>
      </c>
      <c r="Q10" s="85" t="str">
        <f t="shared" si="1"/>
        <v>Water Loss &amp; Service Connection Inspector</v>
      </c>
      <c r="R10" s="90" t="str">
        <f>E10</f>
        <v>10</v>
      </c>
      <c r="S10" s="91" cm="1">
        <f t="array" aca="1" ref="S10" ca="1">IF($O10="Y",VLOOKUP($P10,INDIRECT($P$3),S$5,0)*INDIRECT($O$2),VLOOKUP($P10,INDIRECT($P$3),S$5,0))</f>
        <v>35.877049999999997</v>
      </c>
      <c r="T10" s="91" cm="1">
        <f t="array" aca="1" ref="T10" ca="1">IF($O10="Y",VLOOKUP($P10,INDIRECT($P$3),T$5,0)*INDIRECT($O$2),VLOOKUP($P10,INDIRECT($P$3),T$5,0))</f>
        <v>37.766124999999995</v>
      </c>
      <c r="U10" s="91" cm="1">
        <f t="array" aca="1" ref="U10" ca="1">IF($O10="Y",VLOOKUP($P10,INDIRECT($P$3),U$5,0)*INDIRECT($O$2),VLOOKUP($P10,INDIRECT($P$3),U$5,0))</f>
        <v>39.753599999999999</v>
      </c>
      <c r="V10" s="91" cm="1">
        <f t="array" aca="1" ref="V10" ca="1">IF($O10="Y",VLOOKUP($P10,INDIRECT($P$3),V$5,0)*INDIRECT($O$2),VLOOKUP($P10,INDIRECT($P$3),V$5,0))</f>
        <v>41.845624999999998</v>
      </c>
      <c r="X10" s="94" t="s">
        <v>188</v>
      </c>
      <c r="Y10" s="94" t="str">
        <f t="shared" si="2"/>
        <v>Water Loss &amp; Service Connection Inspector</v>
      </c>
      <c r="Z10" s="98" t="str">
        <f t="shared" si="2"/>
        <v>10</v>
      </c>
      <c r="AA10" s="99">
        <f t="shared" ca="1" si="3"/>
        <v>35.877000000000002</v>
      </c>
      <c r="AB10" s="99">
        <f t="shared" ca="1" si="3"/>
        <v>37.765999999999998</v>
      </c>
      <c r="AC10" s="99">
        <f t="shared" ca="1" si="3"/>
        <v>39.753999999999998</v>
      </c>
      <c r="AD10" s="99">
        <f t="shared" ca="1" si="3"/>
        <v>41.845999999999997</v>
      </c>
    </row>
    <row r="11" spans="2:30" x14ac:dyDescent="0.25">
      <c r="B11" s="55" t="s">
        <v>8</v>
      </c>
      <c r="C11" s="55">
        <v>2</v>
      </c>
      <c r="D11" s="81" t="s">
        <v>91</v>
      </c>
      <c r="E11" s="63" t="s">
        <v>92</v>
      </c>
      <c r="F11" s="56" t="s">
        <v>57</v>
      </c>
      <c r="G11" s="57">
        <v>340</v>
      </c>
      <c r="H11" s="57">
        <v>7</v>
      </c>
      <c r="I11" s="57" t="s">
        <v>12</v>
      </c>
      <c r="J11" s="59">
        <f t="shared" si="0"/>
        <v>35.891441202117171</v>
      </c>
      <c r="K11" s="59">
        <f t="shared" si="0"/>
        <v>37.599723569460927</v>
      </c>
      <c r="L11" s="59">
        <f t="shared" si="0"/>
        <v>39.390831748554675</v>
      </c>
      <c r="M11" s="59">
        <f t="shared" si="0"/>
        <v>41.267354046015605</v>
      </c>
      <c r="O11" s="85" t="s">
        <v>149</v>
      </c>
      <c r="P11" s="86" t="str">
        <f>D11</f>
        <v>52939C</v>
      </c>
      <c r="Q11" s="85" t="str">
        <f t="shared" si="1"/>
        <v>Senior Water Distribution Operator</v>
      </c>
      <c r="R11" s="90" t="str">
        <f>E11</f>
        <v>02</v>
      </c>
      <c r="S11" s="125">
        <v>35.891441202117171</v>
      </c>
      <c r="T11" s="125">
        <v>37.599723569460927</v>
      </c>
      <c r="U11" s="125">
        <v>39.390831748554675</v>
      </c>
      <c r="V11" s="125">
        <v>41.267354046015605</v>
      </c>
      <c r="X11" s="94" t="str">
        <f t="shared" ref="X11:Z11" si="4">P11</f>
        <v>52939C</v>
      </c>
      <c r="Y11" s="94" t="str">
        <f t="shared" si="4"/>
        <v>Senior Water Distribution Operator</v>
      </c>
      <c r="Z11" s="98" t="str">
        <f t="shared" si="4"/>
        <v>02</v>
      </c>
      <c r="AA11" s="99">
        <f t="shared" si="3"/>
        <v>35.890999999999998</v>
      </c>
      <c r="AB11" s="99">
        <f t="shared" si="3"/>
        <v>37.6</v>
      </c>
      <c r="AC11" s="99">
        <f t="shared" si="3"/>
        <v>39.390999999999998</v>
      </c>
      <c r="AD11" s="99">
        <f t="shared" si="3"/>
        <v>41.267000000000003</v>
      </c>
    </row>
    <row r="12" spans="2:30" x14ac:dyDescent="0.25">
      <c r="B12" s="132" t="s">
        <v>161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</row>
    <row r="13" spans="2:30" x14ac:dyDescent="0.25">
      <c r="B13" s="11"/>
      <c r="C13" s="11"/>
      <c r="D13" s="12"/>
      <c r="E13" s="66"/>
      <c r="F13" s="6"/>
      <c r="G13" s="3"/>
      <c r="H13" s="3"/>
      <c r="I13" s="3"/>
      <c r="J13" s="40"/>
      <c r="K13" s="40"/>
      <c r="L13" s="40"/>
      <c r="M13" s="40"/>
    </row>
    <row r="14" spans="2:30" x14ac:dyDescent="0.25">
      <c r="B14" s="17" t="s">
        <v>26</v>
      </c>
      <c r="C14" s="2"/>
      <c r="D14" s="2"/>
      <c r="E14" s="64"/>
      <c r="F14" s="17"/>
      <c r="G14" s="2"/>
      <c r="H14" s="2"/>
      <c r="I14" s="2"/>
      <c r="J14" s="2"/>
      <c r="K14" s="2"/>
      <c r="L14" s="2"/>
      <c r="M14" s="2"/>
    </row>
    <row r="15" spans="2:30" x14ac:dyDescent="0.25">
      <c r="B15" s="18" t="s">
        <v>27</v>
      </c>
      <c r="C15" s="19"/>
      <c r="D15" s="19"/>
      <c r="E15" s="67"/>
      <c r="F15" s="19"/>
      <c r="G15" s="19"/>
      <c r="H15" s="19"/>
      <c r="I15" s="19"/>
      <c r="J15" s="80"/>
      <c r="K15" s="80"/>
      <c r="L15" s="80"/>
      <c r="M15" s="80"/>
    </row>
    <row r="16" spans="2:30" x14ac:dyDescent="0.25">
      <c r="B16" s="18" t="s">
        <v>28</v>
      </c>
      <c r="C16" s="19"/>
      <c r="D16" s="19"/>
      <c r="E16" s="67"/>
      <c r="F16" s="19"/>
      <c r="G16" s="19"/>
      <c r="H16" s="19"/>
      <c r="I16" s="19"/>
      <c r="J16" s="80"/>
      <c r="K16" s="80"/>
      <c r="L16" s="82"/>
      <c r="M16" s="80"/>
      <c r="X16" s="94" t="s">
        <v>26</v>
      </c>
    </row>
    <row r="17" spans="1:30" x14ac:dyDescent="0.25">
      <c r="B17" s="20">
        <f ca="1">S17</f>
        <v>0.36798967992187492</v>
      </c>
      <c r="C17" s="18" t="s">
        <v>29</v>
      </c>
      <c r="E17" s="68"/>
      <c r="F17" s="19"/>
      <c r="G17" s="19"/>
      <c r="H17" s="19"/>
      <c r="I17" s="21"/>
      <c r="J17" s="21"/>
      <c r="K17" s="16"/>
      <c r="L17" s="21"/>
      <c r="M17" s="49"/>
      <c r="O17" s="85" t="s">
        <v>149</v>
      </c>
      <c r="P17" s="86" t="s">
        <v>127</v>
      </c>
      <c r="S17" s="91" cm="1">
        <f t="array" aca="1" ref="S17" ca="1">IF($O17="Y",VLOOKUP($P17,INDIRECT($P$3),S$5,0)*INDIRECT($O$2),VLOOKUP($P17,INDIRECT($P$3),S$5,0))</f>
        <v>0.36798967992187492</v>
      </c>
      <c r="X17" s="94" t="str">
        <f>P17</f>
        <v>Year 10</v>
      </c>
      <c r="AA17" s="99">
        <f t="shared" ref="AA17:AA20" ca="1" si="5">ROUND(S17,3)</f>
        <v>0.36799999999999999</v>
      </c>
    </row>
    <row r="18" spans="1:30" x14ac:dyDescent="0.25">
      <c r="B18" s="20">
        <f t="shared" ref="B18:B20" ca="1" si="6">S18</f>
        <v>0.51541062203124977</v>
      </c>
      <c r="C18" s="18" t="s">
        <v>30</v>
      </c>
      <c r="E18" s="68"/>
      <c r="F18" s="19"/>
      <c r="G18" s="19"/>
      <c r="H18" s="19"/>
      <c r="I18" s="21"/>
      <c r="J18" s="21"/>
      <c r="K18" s="16"/>
      <c r="L18" s="21"/>
      <c r="M18" s="49"/>
      <c r="O18" s="85" t="s">
        <v>149</v>
      </c>
      <c r="P18" s="86" t="s">
        <v>128</v>
      </c>
      <c r="S18" s="91" cm="1">
        <f t="array" aca="1" ref="S18" ca="1">IF($O18="Y",VLOOKUP($P18,INDIRECT($P$3),S$5,0)*INDIRECT($O$2),VLOOKUP($P18,INDIRECT($P$3),S$5,0))</f>
        <v>0.51541062203124977</v>
      </c>
      <c r="X18" s="94" t="str">
        <f t="shared" ref="X18:X20" si="7">P18</f>
        <v>Year 15</v>
      </c>
      <c r="AA18" s="99">
        <f t="shared" ca="1" si="5"/>
        <v>0.51500000000000001</v>
      </c>
    </row>
    <row r="19" spans="1:30" x14ac:dyDescent="0.25">
      <c r="B19" s="20">
        <f t="shared" ca="1" si="6"/>
        <v>0.62456964023437489</v>
      </c>
      <c r="C19" s="18" t="s">
        <v>31</v>
      </c>
      <c r="E19" s="68"/>
      <c r="F19" s="19"/>
      <c r="G19" s="19"/>
      <c r="H19" s="19"/>
      <c r="I19" s="21"/>
      <c r="J19" s="21"/>
      <c r="K19" s="16"/>
      <c r="L19" s="2"/>
      <c r="M19" s="49"/>
      <c r="O19" s="85" t="s">
        <v>149</v>
      </c>
      <c r="P19" s="86" t="s">
        <v>129</v>
      </c>
      <c r="S19" s="91" cm="1">
        <f t="array" aca="1" ref="S19" ca="1">IF($O19="Y",VLOOKUP($P19,INDIRECT($P$3),S$5,0)*INDIRECT($O$2),VLOOKUP($P19,INDIRECT($P$3),S$5,0))</f>
        <v>0.62456964023437489</v>
      </c>
      <c r="X19" s="94" t="str">
        <f t="shared" si="7"/>
        <v>Year 20</v>
      </c>
      <c r="AA19" s="99">
        <f t="shared" ca="1" si="5"/>
        <v>0.625</v>
      </c>
    </row>
    <row r="20" spans="1:30" x14ac:dyDescent="0.25">
      <c r="B20" s="20">
        <f t="shared" ca="1" si="6"/>
        <v>0.73260330773437488</v>
      </c>
      <c r="C20" s="18" t="s">
        <v>32</v>
      </c>
      <c r="E20" s="67"/>
      <c r="F20" s="19"/>
      <c r="G20" s="19"/>
      <c r="H20" s="19"/>
      <c r="I20" s="21"/>
      <c r="J20" s="21"/>
      <c r="K20" s="16"/>
      <c r="L20" s="21"/>
      <c r="M20" s="49"/>
      <c r="O20" s="85" t="s">
        <v>149</v>
      </c>
      <c r="P20" s="86" t="s">
        <v>130</v>
      </c>
      <c r="S20" s="91" cm="1">
        <f t="array" aca="1" ref="S20" ca="1">IF($O20="Y",VLOOKUP($P20,INDIRECT($P$3),S$5,0)*INDIRECT($O$2),VLOOKUP($P20,INDIRECT($P$3),S$5,0))</f>
        <v>0.73260330773437488</v>
      </c>
      <c r="X20" s="94" t="str">
        <f t="shared" si="7"/>
        <v>Year 25</v>
      </c>
      <c r="AA20" s="99">
        <f t="shared" ca="1" si="5"/>
        <v>0.73299999999999998</v>
      </c>
    </row>
    <row r="21" spans="1:30" x14ac:dyDescent="0.25">
      <c r="B21" s="17"/>
      <c r="C21" s="2"/>
      <c r="D21" s="2"/>
      <c r="E21" s="64"/>
      <c r="F21" s="17"/>
      <c r="G21" s="2"/>
      <c r="H21" s="2"/>
      <c r="I21" s="2"/>
      <c r="K21" s="2"/>
      <c r="L21" s="2"/>
      <c r="M21" s="2"/>
    </row>
    <row r="22" spans="1:30" x14ac:dyDescent="0.25">
      <c r="B22" s="23" t="s">
        <v>33</v>
      </c>
      <c r="C22" s="21"/>
      <c r="D22" s="21"/>
      <c r="E22" s="69"/>
      <c r="F22" s="21"/>
      <c r="G22" s="21"/>
      <c r="H22" s="21"/>
      <c r="I22" s="21"/>
      <c r="J22" s="21"/>
      <c r="K22" s="21"/>
      <c r="L22" s="21"/>
      <c r="M22" s="21"/>
    </row>
    <row r="23" spans="1:30" x14ac:dyDescent="0.25">
      <c r="B23" s="18" t="s">
        <v>58</v>
      </c>
      <c r="C23" s="19"/>
      <c r="D23" s="19"/>
      <c r="E23" s="67"/>
      <c r="F23" s="19"/>
      <c r="G23" s="19"/>
      <c r="H23" s="19"/>
      <c r="I23" s="19"/>
      <c r="J23" s="21"/>
      <c r="K23" s="21"/>
      <c r="L23" s="21"/>
      <c r="M23" s="21"/>
    </row>
    <row r="24" spans="1:30" x14ac:dyDescent="0.25">
      <c r="B24" s="18" t="str">
        <f>"effective 1/1/2023, the safety shoe rate was increased from $0.070 to "&amp;TEXT(S24,"$0.000")&amp;" per hour"</f>
        <v>effective 1/1/2023, the safety shoe rate was increased from $0.070 to $0.100 per hour</v>
      </c>
      <c r="C24" s="19"/>
      <c r="D24" s="19"/>
      <c r="E24" s="67"/>
      <c r="F24" s="19"/>
      <c r="G24" s="74"/>
      <c r="H24" s="19"/>
      <c r="I24" s="19"/>
      <c r="J24" s="21"/>
      <c r="K24" s="21"/>
      <c r="L24" s="21"/>
      <c r="M24" s="21"/>
      <c r="O24" s="85" t="s">
        <v>8</v>
      </c>
      <c r="P24" s="86" t="s">
        <v>33</v>
      </c>
      <c r="S24" s="91">
        <v>0.1</v>
      </c>
      <c r="X24" s="94" t="str">
        <f t="shared" ref="X24" si="8">P24</f>
        <v>Safety Shoes</v>
      </c>
      <c r="AA24" s="99">
        <f t="shared" ref="AA24" si="9">ROUND(S24,3)</f>
        <v>0.1</v>
      </c>
    </row>
    <row r="25" spans="1:30" x14ac:dyDescent="0.25">
      <c r="B25" s="18"/>
      <c r="C25" s="19"/>
      <c r="D25" s="19"/>
      <c r="E25" s="67"/>
      <c r="F25" s="19"/>
      <c r="G25" s="19"/>
      <c r="H25" s="19"/>
      <c r="I25" s="19"/>
      <c r="J25" s="21"/>
      <c r="K25" s="21"/>
      <c r="L25" s="21"/>
      <c r="M25" s="21"/>
    </row>
    <row r="26" spans="1:30" s="26" customFormat="1" x14ac:dyDescent="0.25">
      <c r="B26" s="26" t="s">
        <v>160</v>
      </c>
      <c r="E26" s="70"/>
      <c r="O26" s="92"/>
      <c r="P26" s="93"/>
      <c r="Q26" s="92"/>
      <c r="R26" s="93"/>
      <c r="S26" s="93"/>
      <c r="T26" s="93"/>
      <c r="U26" s="93"/>
      <c r="V26" s="93"/>
      <c r="X26" s="100"/>
      <c r="Y26" s="100"/>
      <c r="Z26" s="100"/>
      <c r="AA26" s="113"/>
      <c r="AB26" s="100"/>
      <c r="AC26" s="100"/>
      <c r="AD26" s="100"/>
    </row>
    <row r="27" spans="1:30" x14ac:dyDescent="0.25">
      <c r="B27" s="4" t="s">
        <v>168</v>
      </c>
    </row>
    <row r="28" spans="1:30" x14ac:dyDescent="0.25">
      <c r="A28" t="s">
        <v>124</v>
      </c>
      <c r="B28" s="20">
        <f t="shared" ref="B28:B30" ca="1" si="10">S28</f>
        <v>0.6482020049999998</v>
      </c>
      <c r="C28" s="4" t="s">
        <v>169</v>
      </c>
      <c r="M28" s="21"/>
      <c r="O28" s="85" t="s">
        <v>149</v>
      </c>
      <c r="P28" s="86" t="s">
        <v>124</v>
      </c>
      <c r="Q28" s="85" t="s">
        <v>136</v>
      </c>
      <c r="S28" s="91" cm="1">
        <f t="array" aca="1" ref="S28" ca="1">IF($O28="Y",VLOOKUP($P28,INDIRECT($P$3),S$5,0)*INDIRECT($O$2),VLOOKUP($P28,INDIRECT($P$3),S$5,0))</f>
        <v>0.6482020049999998</v>
      </c>
      <c r="X28" s="94" t="str">
        <f t="shared" ref="X28:Y30" si="11">P28</f>
        <v>CAWWOC</v>
      </c>
      <c r="Y28" s="94" t="str">
        <f t="shared" si="11"/>
        <v>Water Operator Certification-C</v>
      </c>
      <c r="AA28" s="99">
        <f t="shared" ref="AA28:AA30" ca="1" si="12">ROUND(S28,3)</f>
        <v>0.64800000000000002</v>
      </c>
    </row>
    <row r="29" spans="1:30" x14ac:dyDescent="0.25">
      <c r="A29" t="s">
        <v>123</v>
      </c>
      <c r="B29" s="20">
        <f t="shared" ca="1" si="10"/>
        <v>0.97792976101562479</v>
      </c>
      <c r="C29" s="4" t="s">
        <v>48</v>
      </c>
      <c r="M29" s="21"/>
      <c r="O29" s="85" t="s">
        <v>149</v>
      </c>
      <c r="P29" s="86" t="s">
        <v>123</v>
      </c>
      <c r="Q29" s="85" t="s">
        <v>137</v>
      </c>
      <c r="S29" s="91" cm="1">
        <f t="array" aca="1" ref="S29" ca="1">IF($O29="Y",VLOOKUP($P29,INDIRECT($P$3),S$5,0)*INDIRECT($O$2),VLOOKUP($P29,INDIRECT($P$3),S$5,0))</f>
        <v>0.97792976101562479</v>
      </c>
      <c r="X29" s="94" t="str">
        <f t="shared" si="11"/>
        <v>CAWWOB</v>
      </c>
      <c r="Y29" s="94" t="str">
        <f t="shared" si="11"/>
        <v>Water Operator Certification-B</v>
      </c>
      <c r="AA29" s="99">
        <f t="shared" ca="1" si="12"/>
        <v>0.97799999999999998</v>
      </c>
    </row>
    <row r="30" spans="1:30" x14ac:dyDescent="0.25">
      <c r="A30" t="s">
        <v>122</v>
      </c>
      <c r="B30" s="20">
        <f t="shared" ca="1" si="10"/>
        <v>1.3076575170312494</v>
      </c>
      <c r="C30" s="4" t="s">
        <v>49</v>
      </c>
      <c r="M30" s="21"/>
      <c r="O30" s="85" t="s">
        <v>149</v>
      </c>
      <c r="P30" s="86" t="s">
        <v>122</v>
      </c>
      <c r="Q30" s="85" t="s">
        <v>138</v>
      </c>
      <c r="S30" s="91" cm="1">
        <f t="array" aca="1" ref="S30" ca="1">IF($O30="Y",VLOOKUP($P30,INDIRECT($P$3),S$5,0)*INDIRECT($O$2),VLOOKUP($P30,INDIRECT($P$3),S$5,0))</f>
        <v>1.3076575170312494</v>
      </c>
      <c r="X30" s="94" t="str">
        <f t="shared" si="11"/>
        <v>CAWWOA</v>
      </c>
      <c r="Y30" s="94" t="str">
        <f t="shared" si="11"/>
        <v>Water Operator Certification-A</v>
      </c>
      <c r="AA30" s="99">
        <f t="shared" ca="1" si="12"/>
        <v>1.3080000000000001</v>
      </c>
    </row>
    <row r="32" spans="1:30" x14ac:dyDescent="0.25">
      <c r="B32" s="24" t="s">
        <v>170</v>
      </c>
      <c r="C32" s="27"/>
      <c r="D32" s="27"/>
      <c r="E32" s="72"/>
      <c r="F32" s="29"/>
      <c r="G32" s="29"/>
      <c r="H32" s="29"/>
      <c r="I32" s="29"/>
      <c r="J32" s="29"/>
      <c r="K32" s="29"/>
      <c r="L32" s="29"/>
      <c r="M32" s="29"/>
    </row>
    <row r="33" spans="1:27" x14ac:dyDescent="0.25">
      <c r="B33" s="20">
        <f t="shared" ref="B33" ca="1" si="13">S33</f>
        <v>0.94441626812499968</v>
      </c>
      <c r="C33" s="37" t="s">
        <v>106</v>
      </c>
      <c r="D33" s="37" t="s">
        <v>172</v>
      </c>
      <c r="E33" s="73"/>
      <c r="F33" s="33"/>
      <c r="G33" s="33"/>
      <c r="H33" s="33"/>
      <c r="I33" s="33"/>
      <c r="J33" s="33"/>
      <c r="K33" s="29"/>
      <c r="L33" s="29"/>
      <c r="M33" s="29"/>
      <c r="O33" s="85" t="s">
        <v>149</v>
      </c>
      <c r="P33" s="86" t="s">
        <v>125</v>
      </c>
      <c r="Q33" s="85" t="s">
        <v>139</v>
      </c>
      <c r="S33" s="91" cm="1">
        <f t="array" aca="1" ref="S33" ca="1">IF($O33="Y",VLOOKUP($P33,INDIRECT($P$3),S$5,0)*INDIRECT($O$2),VLOOKUP($P33,INDIRECT($P$3),S$5,0))</f>
        <v>0.94441626812499968</v>
      </c>
      <c r="X33" s="94" t="str">
        <f t="shared" ref="X33:Y35" si="14">P33</f>
        <v>CAWEVE</v>
      </c>
      <c r="Y33" s="94" t="str">
        <f t="shared" si="14"/>
        <v>TL-Afternoon Shift Premium-CAW</v>
      </c>
      <c r="AA33" s="99">
        <f t="shared" ref="AA33:AA35" ca="1" si="15">ROUND(S33,3)</f>
        <v>0.94399999999999995</v>
      </c>
    </row>
    <row r="34" spans="1:27" x14ac:dyDescent="0.25">
      <c r="B34" s="30"/>
      <c r="C34" s="37"/>
      <c r="D34" s="37" t="s">
        <v>171</v>
      </c>
      <c r="E34" s="73"/>
      <c r="F34" s="33"/>
      <c r="G34" s="33"/>
      <c r="H34" s="33"/>
      <c r="I34" s="33"/>
      <c r="J34" s="33"/>
      <c r="K34" s="29"/>
      <c r="L34" s="29"/>
      <c r="M34" s="29"/>
      <c r="O34" s="85" t="s">
        <v>149</v>
      </c>
      <c r="P34" s="86" t="s">
        <v>154</v>
      </c>
      <c r="Q34" s="85" t="s">
        <v>163</v>
      </c>
      <c r="S34" s="91">
        <f ca="1">S33</f>
        <v>0.94441626812499968</v>
      </c>
      <c r="X34" s="94" t="str">
        <f t="shared" si="14"/>
        <v>CAWWKE</v>
      </c>
      <c r="Y34" s="94" t="str">
        <f t="shared" si="14"/>
        <v>Weekend shift-CAW</v>
      </c>
      <c r="AA34" s="99">
        <f t="shared" ca="1" si="15"/>
        <v>0.94399999999999995</v>
      </c>
    </row>
    <row r="35" spans="1:27" x14ac:dyDescent="0.25">
      <c r="B35" s="20">
        <f t="shared" ref="B35" ca="1" si="16">S35</f>
        <v>1.4084045387285153</v>
      </c>
      <c r="C35" s="37" t="s">
        <v>106</v>
      </c>
      <c r="D35" s="37" t="s">
        <v>185</v>
      </c>
      <c r="E35" s="73"/>
      <c r="F35" s="33"/>
      <c r="G35" s="33"/>
      <c r="H35" s="33"/>
      <c r="I35" s="33"/>
      <c r="J35" s="33"/>
      <c r="K35" s="29"/>
      <c r="L35" s="29"/>
      <c r="M35" s="29"/>
      <c r="O35" s="85" t="s">
        <v>149</v>
      </c>
      <c r="P35" s="86" t="s">
        <v>126</v>
      </c>
      <c r="Q35" s="85" t="s">
        <v>140</v>
      </c>
      <c r="S35" s="91" cm="1">
        <f t="array" aca="1" ref="S35" ca="1">IF($O35="Y",VLOOKUP($P35,INDIRECT($P$3),S$5,0)*INDIRECT($O$2),VLOOKUP($P35,INDIRECT($P$3),S$5,0))</f>
        <v>1.4084045387285153</v>
      </c>
      <c r="X35" s="94" t="str">
        <f t="shared" si="14"/>
        <v>CAWNIT</v>
      </c>
      <c r="Y35" s="94" t="str">
        <f t="shared" si="14"/>
        <v>TL-Night Shift Premium-CPL</v>
      </c>
      <c r="AA35" s="99">
        <f t="shared" ca="1" si="15"/>
        <v>1.4079999999999999</v>
      </c>
    </row>
    <row r="36" spans="1:27" x14ac:dyDescent="0.25">
      <c r="B36" s="30"/>
      <c r="C36" s="31"/>
      <c r="D36" s="31"/>
      <c r="E36" s="73"/>
      <c r="F36" s="33"/>
      <c r="G36" s="33"/>
      <c r="H36" s="33"/>
      <c r="I36" s="33"/>
      <c r="J36" s="33"/>
      <c r="K36" s="29"/>
      <c r="L36" s="29"/>
      <c r="M36" s="29"/>
    </row>
    <row r="37" spans="1:27" x14ac:dyDescent="0.25">
      <c r="B37" s="103" t="s">
        <v>178</v>
      </c>
      <c r="C37" s="36"/>
      <c r="D37" s="34"/>
      <c r="E37" s="73"/>
      <c r="F37" s="33"/>
      <c r="G37" s="35"/>
      <c r="H37" s="35"/>
      <c r="I37" s="35"/>
      <c r="J37" s="38"/>
      <c r="K37" s="39"/>
      <c r="L37" s="33"/>
      <c r="M37" s="33"/>
    </row>
    <row r="38" spans="1:27" x14ac:dyDescent="0.25">
      <c r="B38" s="22">
        <f ca="1">S38</f>
        <v>0.86118450000000002</v>
      </c>
      <c r="C38" s="119" t="s">
        <v>106</v>
      </c>
      <c r="D38" s="119" t="s">
        <v>173</v>
      </c>
      <c r="E38" s="73"/>
      <c r="F38" s="33"/>
      <c r="G38" s="35"/>
      <c r="H38" s="35"/>
      <c r="I38" s="35"/>
      <c r="J38" s="38"/>
      <c r="K38" s="39"/>
      <c r="L38" s="33"/>
      <c r="M38" s="33"/>
      <c r="O38" s="85" t="s">
        <v>149</v>
      </c>
      <c r="P38" s="86" t="s">
        <v>164</v>
      </c>
      <c r="Q38" s="85" t="s">
        <v>165</v>
      </c>
      <c r="S38" s="91" cm="1">
        <f t="array" aca="1" ref="S38" ca="1">IF($O38="Y",VLOOKUP($P38,INDIRECT($P$3),S$5,0)*INDIRECT($O$2),VLOOKUP($P38,INDIRECT($P$3),S$5,0))</f>
        <v>0.86118450000000002</v>
      </c>
      <c r="T38" s="105"/>
      <c r="X38" s="94" t="str">
        <f>P38</f>
        <v>CAWGLA</v>
      </c>
      <c r="Y38" s="94" t="str">
        <f t="shared" ref="Y38:Y42" si="17">Q38</f>
        <v>Gate Truck Lead Assignment</v>
      </c>
      <c r="AA38" s="99">
        <f t="shared" ref="AA38:AA42" ca="1" si="18">ROUND(S38,3)</f>
        <v>0.86099999999999999</v>
      </c>
    </row>
    <row r="39" spans="1:27" x14ac:dyDescent="0.25">
      <c r="A39" s="104"/>
      <c r="B39" s="22">
        <f t="shared" ref="B39:B42" ca="1" si="19">S39</f>
        <v>0.40512625312499989</v>
      </c>
      <c r="C39" s="119" t="s">
        <v>106</v>
      </c>
      <c r="D39" s="119" t="s">
        <v>174</v>
      </c>
      <c r="E39" s="73"/>
      <c r="F39" s="33"/>
      <c r="G39" s="35"/>
      <c r="H39" s="35"/>
      <c r="I39" s="35"/>
      <c r="J39" s="38"/>
      <c r="K39" s="39"/>
      <c r="L39" s="33"/>
      <c r="M39" s="33"/>
      <c r="O39" s="85" t="s">
        <v>149</v>
      </c>
      <c r="P39" s="86" t="s">
        <v>118</v>
      </c>
      <c r="Q39" s="85" t="s">
        <v>131</v>
      </c>
      <c r="S39" s="91" cm="1">
        <f t="array" aca="1" ref="S39" ca="1">IF($O39="Y",VLOOKUP($P39,INDIRECT($P$3),S$5,0)*INDIRECT($O$2),VLOOKUP($P39,INDIRECT($P$3),S$5,0))</f>
        <v>0.40512625312499989</v>
      </c>
      <c r="X39" s="94" t="str">
        <f>P39</f>
        <v>CAWGTT</v>
      </c>
      <c r="Y39" s="94" t="str">
        <f t="shared" si="17"/>
        <v>TL-Gate Truck Premium-CAW</v>
      </c>
      <c r="AA39" s="99">
        <f t="shared" ca="1" si="18"/>
        <v>0.40500000000000003</v>
      </c>
    </row>
    <row r="40" spans="1:27" x14ac:dyDescent="0.25">
      <c r="A40" s="104"/>
      <c r="B40" s="22">
        <f t="shared" ca="1" si="19"/>
        <v>0.40512625312499989</v>
      </c>
      <c r="C40" s="118" t="s">
        <v>106</v>
      </c>
      <c r="D40" s="118" t="s">
        <v>175</v>
      </c>
      <c r="E40" s="73"/>
      <c r="F40" s="33"/>
      <c r="G40" s="35"/>
      <c r="H40" s="35"/>
      <c r="I40" s="35"/>
      <c r="J40" s="33"/>
      <c r="K40" s="33"/>
      <c r="L40" s="33"/>
      <c r="M40" s="33"/>
      <c r="O40" s="85" t="s">
        <v>149</v>
      </c>
      <c r="P40" s="86" t="s">
        <v>117</v>
      </c>
      <c r="Q40" s="85" t="s">
        <v>156</v>
      </c>
      <c r="S40" s="91" cm="1">
        <f t="array" aca="1" ref="S40" ca="1">IF($O40="Y",VLOOKUP($P40,INDIRECT($P$3),S$5,0)*INDIRECT($O$2),VLOOKUP($P40,INDIRECT($P$3),S$5,0))</f>
        <v>0.40512625312499989</v>
      </c>
      <c r="X40" s="94" t="str">
        <f>P40</f>
        <v>CAWTAP</v>
      </c>
      <c r="Y40" s="94" t="str">
        <f t="shared" si="17"/>
        <v>TL-Lrg &amp; Sml Taper Premium-CAW</v>
      </c>
      <c r="AA40" s="99">
        <f t="shared" ca="1" si="18"/>
        <v>0.40500000000000003</v>
      </c>
    </row>
    <row r="41" spans="1:27" x14ac:dyDescent="0.25">
      <c r="A41" s="104" t="s">
        <v>126</v>
      </c>
      <c r="B41" s="22">
        <f t="shared" ca="1" si="19"/>
        <v>1.3312898817968746</v>
      </c>
      <c r="C41" s="116" t="s">
        <v>106</v>
      </c>
      <c r="D41" s="117" t="s">
        <v>176</v>
      </c>
      <c r="E41" s="73"/>
      <c r="F41" s="29"/>
      <c r="G41" s="29"/>
      <c r="H41" s="35"/>
      <c r="I41" s="35"/>
      <c r="M41" s="33"/>
      <c r="O41" s="85" t="s">
        <v>149</v>
      </c>
      <c r="P41" s="86" t="s">
        <v>121</v>
      </c>
      <c r="Q41" s="85" t="s">
        <v>135</v>
      </c>
      <c r="S41" s="91" cm="1">
        <f t="array" aca="1" ref="S41" ca="1">IF($O41="Y",VLOOKUP($P41,INDIRECT($P$3),S$5,0)*INDIRECT($O$2),VLOOKUP($P41,INDIRECT($P$3),S$5,0))</f>
        <v>1.3312898817968746</v>
      </c>
      <c r="T41" s="106"/>
      <c r="X41" s="94" t="str">
        <f>P41</f>
        <v>CAWRSP</v>
      </c>
      <c r="Y41" s="94" t="str">
        <f t="shared" si="17"/>
        <v>TL-Respirator-CAW</v>
      </c>
      <c r="AA41" s="99">
        <f t="shared" ca="1" si="18"/>
        <v>1.331</v>
      </c>
    </row>
    <row r="42" spans="1:27" x14ac:dyDescent="0.25">
      <c r="A42" s="104"/>
      <c r="B42" s="22">
        <f t="shared" ca="1" si="19"/>
        <v>0.40488524999999992</v>
      </c>
      <c r="C42" s="116" t="s">
        <v>106</v>
      </c>
      <c r="D42" s="118" t="s">
        <v>177</v>
      </c>
      <c r="E42" s="73"/>
      <c r="F42" s="33"/>
      <c r="G42" s="35"/>
      <c r="H42" s="35"/>
      <c r="I42" s="35"/>
      <c r="J42" s="33"/>
      <c r="K42" s="33"/>
      <c r="L42" s="33"/>
      <c r="M42" s="33"/>
      <c r="O42" s="85" t="s">
        <v>149</v>
      </c>
      <c r="P42" s="86" t="s">
        <v>166</v>
      </c>
      <c r="Q42" s="85" t="s">
        <v>167</v>
      </c>
      <c r="S42" s="91" cm="1">
        <f t="array" aca="1" ref="S42" ca="1">IF($O42="Y",VLOOKUP($P42,INDIRECT($P$3),S$5,0)*INDIRECT($O$2),VLOOKUP($P42,INDIRECT($P$3),S$5,0))</f>
        <v>0.40488524999999992</v>
      </c>
      <c r="X42" s="94" t="str">
        <f>P42</f>
        <v>CAWCMT</v>
      </c>
      <c r="Y42" s="94" t="str">
        <f t="shared" si="17"/>
        <v>Commercial Meter Testing (on-site)</v>
      </c>
      <c r="AA42" s="99">
        <f t="shared" ca="1" si="18"/>
        <v>0.40500000000000003</v>
      </c>
    </row>
    <row r="43" spans="1:27" x14ac:dyDescent="0.25">
      <c r="A43" s="104"/>
      <c r="B43" s="109"/>
      <c r="D43" s="37"/>
      <c r="E43" s="73"/>
      <c r="F43" s="33"/>
      <c r="G43" s="35"/>
      <c r="H43" s="35"/>
      <c r="I43" s="35"/>
      <c r="J43" s="33"/>
      <c r="K43" s="33"/>
      <c r="L43" s="33"/>
      <c r="M43" s="33"/>
      <c r="P43" s="85"/>
    </row>
    <row r="44" spans="1:27" x14ac:dyDescent="0.25">
      <c r="A44" s="104"/>
      <c r="B44" s="110"/>
      <c r="D44" s="37"/>
      <c r="E44" s="73"/>
      <c r="F44" s="33"/>
      <c r="G44" s="35"/>
      <c r="H44" s="35"/>
      <c r="I44" s="35"/>
      <c r="J44" s="33"/>
      <c r="K44" s="33"/>
      <c r="L44" s="33"/>
      <c r="M44" s="33"/>
    </row>
    <row r="45" spans="1:27" x14ac:dyDescent="0.25">
      <c r="A45" s="104"/>
      <c r="B45" s="111"/>
    </row>
    <row r="46" spans="1:27" x14ac:dyDescent="0.25">
      <c r="A46" s="104"/>
      <c r="B46" s="104"/>
    </row>
    <row r="47" spans="1:27" x14ac:dyDescent="0.25">
      <c r="A47" s="104"/>
      <c r="B47" s="108"/>
    </row>
    <row r="48" spans="1:27" x14ac:dyDescent="0.25">
      <c r="A48" s="104"/>
      <c r="B48" s="111"/>
    </row>
    <row r="49" spans="1:14" x14ac:dyDescent="0.25">
      <c r="A49" s="104"/>
      <c r="B49" s="111" t="str">
        <f>B5</f>
        <v>Last updated February 13, 2026</v>
      </c>
      <c r="N49" s="4" t="s">
        <v>193</v>
      </c>
    </row>
    <row r="50" spans="1:14" x14ac:dyDescent="0.25">
      <c r="A50" s="104"/>
      <c r="B50" s="104"/>
    </row>
    <row r="51" spans="1:14" x14ac:dyDescent="0.25">
      <c r="A51" s="104"/>
      <c r="B51" s="108"/>
    </row>
    <row r="52" spans="1:14" x14ac:dyDescent="0.25">
      <c r="A52" s="104"/>
      <c r="B52" s="111"/>
    </row>
    <row r="53" spans="1:14" x14ac:dyDescent="0.25">
      <c r="A53" s="104"/>
      <c r="B53" s="111"/>
    </row>
    <row r="54" spans="1:14" x14ac:dyDescent="0.25">
      <c r="A54" s="104"/>
      <c r="B54" s="111"/>
    </row>
    <row r="55" spans="1:14" x14ac:dyDescent="0.25">
      <c r="A55" s="104"/>
      <c r="B55" s="111"/>
    </row>
    <row r="56" spans="1:14" x14ac:dyDescent="0.25">
      <c r="A56" s="104"/>
      <c r="B56" s="104"/>
    </row>
    <row r="57" spans="1:14" x14ac:dyDescent="0.25">
      <c r="A57" s="104"/>
      <c r="B57" s="108"/>
    </row>
    <row r="58" spans="1:14" x14ac:dyDescent="0.25">
      <c r="A58" s="104"/>
      <c r="B58" s="111"/>
    </row>
    <row r="59" spans="1:14" x14ac:dyDescent="0.25">
      <c r="A59" s="104"/>
      <c r="B59" s="111"/>
    </row>
    <row r="60" spans="1:14" x14ac:dyDescent="0.25">
      <c r="A60" s="104"/>
      <c r="B60" s="111"/>
    </row>
  </sheetData>
  <sheetProtection sheet="1" objects="1" scenarios="1"/>
  <mergeCells count="1">
    <mergeCell ref="B12:M1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29</vt:i4>
      </vt:variant>
    </vt:vector>
  </HeadingPairs>
  <TitlesOfParts>
    <vt:vector size="42" baseType="lpstr">
      <vt:lpstr>February 2018</vt:lpstr>
      <vt:lpstr>October 2019</vt:lpstr>
      <vt:lpstr>May 2020</vt:lpstr>
      <vt:lpstr>March 2021</vt:lpstr>
      <vt:lpstr>March 2022</vt:lpstr>
      <vt:lpstr>January 2023</vt:lpstr>
      <vt:lpstr>January 2024</vt:lpstr>
      <vt:lpstr>January 2025</vt:lpstr>
      <vt:lpstr>November 2025</vt:lpstr>
      <vt:lpstr>January 2026 </vt:lpstr>
      <vt:lpstr>January 2027</vt:lpstr>
      <vt:lpstr>January 2028</vt:lpstr>
      <vt:lpstr>Notes</vt:lpstr>
      <vt:lpstr>'January 2028'!BaseIncPerc26</vt:lpstr>
      <vt:lpstr>BaseIncPerc26</vt:lpstr>
      <vt:lpstr>'January 2028'!BaseIncPerc27</vt:lpstr>
      <vt:lpstr>BaseIncPerc27</vt:lpstr>
      <vt:lpstr>BaseIncrPerc2020</vt:lpstr>
      <vt:lpstr>BaseIncrPerc2021</vt:lpstr>
      <vt:lpstr>BaseIncrPerc2022</vt:lpstr>
      <vt:lpstr>BaseIncrPerc2023</vt:lpstr>
      <vt:lpstr>BaseIncrPerc2024</vt:lpstr>
      <vt:lpstr>'January 2026 '!BaseIncrPerc2025</vt:lpstr>
      <vt:lpstr>'January 2027'!BaseIncrPerc2025</vt:lpstr>
      <vt:lpstr>'January 2028'!BaseIncrPerc2025</vt:lpstr>
      <vt:lpstr>'November 2025'!BaseIncrPerc2025</vt:lpstr>
      <vt:lpstr>DataJan2023</vt:lpstr>
      <vt:lpstr>DataJan2024</vt:lpstr>
      <vt:lpstr>DataJan26</vt:lpstr>
      <vt:lpstr>DataJan27</vt:lpstr>
      <vt:lpstr>DataMar2021</vt:lpstr>
      <vt:lpstr>DataMarch2022</vt:lpstr>
      <vt:lpstr>DataNov25</vt:lpstr>
      <vt:lpstr>LeakLocaterPrem2</vt:lpstr>
      <vt:lpstr>LeakLocaterPremium</vt:lpstr>
      <vt:lpstr>ShiftIncrPerc2020</vt:lpstr>
      <vt:lpstr>ShiftIncrPerc2020v2</vt:lpstr>
      <vt:lpstr>ShiftIncrPerc2021</vt:lpstr>
      <vt:lpstr>ShiftIncrPerc2021v2</vt:lpstr>
      <vt:lpstr>ShiftIncrPerc2022</vt:lpstr>
      <vt:lpstr>ShiftIncrPerc2022v2</vt:lpstr>
      <vt:lpstr>ShoePremium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Water Maintenance CAW Salary Schedule. From 2023-2025 Posted 07-12-2024</dc:title>
  <dc:creator>City of Minneapolis Human Resources, Classification and Compensation;Howatt, Erick S</dc:creator>
  <cp:lastModifiedBy>Stupeck, Marie (she/her/hers)</cp:lastModifiedBy>
  <cp:lastPrinted>2019-06-27T20:05:42Z</cp:lastPrinted>
  <dcterms:created xsi:type="dcterms:W3CDTF">2019-06-20T17:46:27Z</dcterms:created>
  <dcterms:modified xsi:type="dcterms:W3CDTF">2026-06-09T19:12:31Z</dcterms:modified>
</cp:coreProperties>
</file>